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dislav.prusa\Documents\VUPSV\vyzkumy\projekty17\ETA\PARDUBICE\"/>
    </mc:Choice>
  </mc:AlternateContent>
  <workbookProtection workbookAlgorithmName="SHA-512" workbookHashValue="xeLvIRlP3QXEWHdoWFX4BOAKhBukDZI/p06X2ZuHdUoAOhSut6Ssyk7e2TfAKtTPAV4S0KtSC0Bf9UMmlHc1Sw==" workbookSaltValue="+emFgkGZy/M5zP0WrCZwVg==" workbookSpinCount="100000" lockStructure="1"/>
  <bookViews>
    <workbookView xWindow="0" yWindow="0" windowWidth="28800" windowHeight="11835" firstSheet="3" activeTab="3"/>
  </bookViews>
  <sheets>
    <sheet name="List1" sheetId="1" state="hidden" r:id="rId1"/>
    <sheet name="List2" sheetId="2" state="hidden" r:id="rId2"/>
    <sheet name="List3" sheetId="3" state="hidden" r:id="rId3"/>
    <sheet name="Kalkulačka" sheetId="7" r:id="rId4"/>
    <sheet name="List4" sheetId="4" state="hidden" r:id="rId5"/>
    <sheet name="List5" sheetId="5" state="hidden" r:id="rId6"/>
    <sheet name="List6" sheetId="6" state="hidden" r:id="rId7"/>
  </sheets>
  <definedNames>
    <definedName name="_xlnm.Print_Area" localSheetId="3">Kalkulačka!$A$1:$I$41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3" l="1"/>
  <c r="D145" i="3" l="1"/>
  <c r="C39" i="7" s="1"/>
  <c r="D144" i="3"/>
  <c r="C38" i="7" s="1"/>
  <c r="D143" i="3"/>
  <c r="C37" i="7" s="1"/>
  <c r="D142" i="3"/>
  <c r="C36" i="7" s="1"/>
  <c r="D141" i="3"/>
  <c r="C35" i="7" s="1"/>
  <c r="D140" i="3"/>
  <c r="C34" i="7" s="1"/>
  <c r="D138" i="3"/>
  <c r="C32" i="7" s="1"/>
  <c r="D136" i="3"/>
  <c r="C30" i="7" s="1"/>
  <c r="D135" i="3"/>
  <c r="C29" i="7" s="1"/>
  <c r="D134" i="3"/>
  <c r="C28" i="7" s="1"/>
  <c r="D133" i="3"/>
  <c r="C27" i="7" s="1"/>
  <c r="D132" i="3"/>
  <c r="C26" i="7" s="1"/>
  <c r="D131" i="3"/>
  <c r="C25" i="7" s="1"/>
  <c r="D130" i="3"/>
  <c r="C24" i="7" s="1"/>
  <c r="D129" i="3"/>
  <c r="C23" i="7" s="1"/>
  <c r="D128" i="3"/>
  <c r="C22" i="7" s="1"/>
  <c r="D125" i="3"/>
  <c r="C19" i="7" s="1"/>
  <c r="D127" i="3"/>
  <c r="C21" i="7" s="1"/>
  <c r="D126" i="3"/>
  <c r="C20" i="7" s="1"/>
  <c r="D124" i="3"/>
  <c r="C18" i="7" s="1"/>
  <c r="D123" i="3"/>
  <c r="C17" i="7" s="1"/>
  <c r="O4" i="6"/>
  <c r="O25" i="6"/>
  <c r="O24" i="6"/>
  <c r="O23" i="6"/>
  <c r="J5" i="6"/>
  <c r="O22" i="6"/>
  <c r="O21" i="6"/>
  <c r="O20" i="6"/>
  <c r="O18" i="6"/>
  <c r="O16" i="6" l="1"/>
  <c r="G34" i="5"/>
  <c r="G35" i="5"/>
  <c r="O15" i="6"/>
  <c r="G33" i="5"/>
  <c r="O14" i="6"/>
  <c r="G31" i="5"/>
  <c r="G32" i="5"/>
  <c r="O13" i="6"/>
  <c r="G30" i="5"/>
  <c r="O12" i="6"/>
  <c r="G27" i="5"/>
  <c r="O11" i="6" l="1"/>
  <c r="O10" i="6"/>
  <c r="O9" i="6"/>
  <c r="H6" i="6"/>
  <c r="O8" i="6"/>
  <c r="H31" i="6"/>
  <c r="H30" i="6"/>
  <c r="H23" i="6"/>
  <c r="H22" i="6"/>
  <c r="H15" i="6"/>
  <c r="H14" i="6"/>
  <c r="H7" i="6"/>
  <c r="O7" i="6"/>
  <c r="O6" i="6"/>
  <c r="O5" i="6"/>
  <c r="D31" i="6"/>
  <c r="D23" i="6"/>
  <c r="D15" i="6"/>
  <c r="D7" i="6"/>
  <c r="D30" i="6"/>
  <c r="D22" i="6"/>
  <c r="D14" i="6"/>
  <c r="D6" i="6"/>
  <c r="K29" i="6"/>
  <c r="K21" i="6"/>
  <c r="K13" i="6"/>
  <c r="O3" i="6"/>
  <c r="J28" i="6"/>
  <c r="J27" i="6"/>
  <c r="J29" i="6" s="1"/>
  <c r="A29" i="6"/>
  <c r="B29" i="6"/>
  <c r="C29" i="6"/>
  <c r="D29" i="6"/>
  <c r="E29" i="6"/>
  <c r="F29" i="6"/>
  <c r="G29" i="6"/>
  <c r="H29" i="6"/>
  <c r="I29" i="6"/>
  <c r="J20" i="6"/>
  <c r="J19" i="6"/>
  <c r="A21" i="6"/>
  <c r="B21" i="6"/>
  <c r="C21" i="6"/>
  <c r="D21" i="6"/>
  <c r="E21" i="6"/>
  <c r="F21" i="6"/>
  <c r="G21" i="6"/>
  <c r="H21" i="6"/>
  <c r="I21" i="6"/>
  <c r="J12" i="6"/>
  <c r="J11" i="6"/>
  <c r="A13" i="6"/>
  <c r="B13" i="6"/>
  <c r="C13" i="6"/>
  <c r="D13" i="6"/>
  <c r="E13" i="6"/>
  <c r="F13" i="6"/>
  <c r="G13" i="6"/>
  <c r="H13" i="6"/>
  <c r="I13" i="6"/>
  <c r="J4" i="6"/>
  <c r="J3" i="6"/>
  <c r="B5" i="6"/>
  <c r="C5" i="6"/>
  <c r="D5" i="6"/>
  <c r="E5" i="6"/>
  <c r="F5" i="6"/>
  <c r="G5" i="6"/>
  <c r="H5" i="6"/>
  <c r="I5" i="6"/>
  <c r="A5" i="6"/>
  <c r="J21" i="6" l="1"/>
  <c r="J13" i="6"/>
  <c r="I108" i="3"/>
  <c r="I86" i="3"/>
  <c r="AT96" i="3" l="1"/>
  <c r="AE110" i="3"/>
  <c r="AV88" i="3"/>
  <c r="AV96" i="3"/>
  <c r="AU91" i="3"/>
  <c r="AU96" i="3"/>
  <c r="AX90" i="3"/>
  <c r="AS88" i="3"/>
  <c r="AR89" i="3"/>
  <c r="AY90" i="3"/>
  <c r="AW90" i="3"/>
  <c r="AS96" i="3"/>
  <c r="AR88" i="3"/>
  <c r="AV95" i="3"/>
  <c r="AX89" i="3"/>
  <c r="AY95" i="3"/>
  <c r="AT88" i="3"/>
  <c r="AX95" i="3"/>
  <c r="AQ91" i="3"/>
  <c r="AU90" i="3"/>
  <c r="AU95" i="3"/>
  <c r="AY97" i="3"/>
  <c r="AT90" i="3"/>
  <c r="AT95" i="3"/>
  <c r="AQ95" i="3"/>
  <c r="AS90" i="3"/>
  <c r="AW94" i="3"/>
  <c r="AS95" i="3"/>
  <c r="AQ96" i="3"/>
  <c r="AV89" i="3"/>
  <c r="AV94" i="3"/>
  <c r="AR95" i="3"/>
  <c r="AV97" i="3"/>
  <c r="AU89" i="3"/>
  <c r="AY91" i="3"/>
  <c r="AY96" i="3"/>
  <c r="AY88" i="3"/>
  <c r="AT89" i="3"/>
  <c r="AX91" i="3"/>
  <c r="AT94" i="3"/>
  <c r="AX96" i="3"/>
  <c r="AT97" i="3"/>
  <c r="AV91" i="3"/>
  <c r="AR94" i="3"/>
  <c r="AU88" i="3"/>
  <c r="AQ88" i="3"/>
  <c r="AT91" i="3"/>
  <c r="AQ89" i="3"/>
  <c r="AS91" i="3"/>
  <c r="AW95" i="3"/>
  <c r="AQ90" i="3"/>
  <c r="AV90" i="3"/>
  <c r="AR91" i="3"/>
  <c r="AR96" i="3"/>
  <c r="AY89" i="3"/>
  <c r="AY94" i="3"/>
  <c r="AQ94" i="3"/>
  <c r="AX94" i="3"/>
  <c r="AX97" i="3"/>
  <c r="AW89" i="3"/>
  <c r="AW97" i="3"/>
  <c r="AR90" i="3"/>
  <c r="AQ97" i="3"/>
  <c r="AU94" i="3"/>
  <c r="AU97" i="3"/>
  <c r="AW88" i="3"/>
  <c r="AS89" i="3"/>
  <c r="AW91" i="3"/>
  <c r="AS94" i="3"/>
  <c r="AW96" i="3"/>
  <c r="AS97" i="3"/>
  <c r="AR97" i="3"/>
  <c r="AE94" i="3"/>
  <c r="AE88" i="3"/>
  <c r="AX122" i="3"/>
  <c r="AR119" i="3"/>
  <c r="AS119" i="3"/>
  <c r="AT119" i="3"/>
  <c r="AU119" i="3"/>
  <c r="AV119" i="3"/>
  <c r="AW119" i="3"/>
  <c r="AX119" i="3"/>
  <c r="AY119" i="3"/>
  <c r="AR118" i="3"/>
  <c r="AS118" i="3"/>
  <c r="AT118" i="3"/>
  <c r="AU118" i="3"/>
  <c r="AV118" i="3"/>
  <c r="AW118" i="3"/>
  <c r="AX118" i="3"/>
  <c r="AY118" i="3"/>
  <c r="AR117" i="3"/>
  <c r="AS117" i="3"/>
  <c r="AT117" i="3"/>
  <c r="AU117" i="3"/>
  <c r="AV117" i="3"/>
  <c r="AW117" i="3"/>
  <c r="AX117" i="3"/>
  <c r="AY117" i="3"/>
  <c r="AR116" i="3"/>
  <c r="AS116" i="3"/>
  <c r="AT116" i="3"/>
  <c r="AU116" i="3"/>
  <c r="AV116" i="3"/>
  <c r="AW116" i="3"/>
  <c r="AY116" i="3"/>
  <c r="AQ119" i="3"/>
  <c r="AQ118" i="3"/>
  <c r="AQ117" i="3"/>
  <c r="AQ116" i="3"/>
  <c r="AR113" i="3"/>
  <c r="AS113" i="3"/>
  <c r="AT113" i="3"/>
  <c r="AU113" i="3"/>
  <c r="AV113" i="3"/>
  <c r="AW113" i="3"/>
  <c r="AX113" i="3"/>
  <c r="AY113" i="3"/>
  <c r="AR112" i="3"/>
  <c r="AS112" i="3"/>
  <c r="AT112" i="3"/>
  <c r="AU112" i="3"/>
  <c r="AV112" i="3"/>
  <c r="AW112" i="3"/>
  <c r="AX112" i="3"/>
  <c r="AY112" i="3"/>
  <c r="AR111" i="3"/>
  <c r="AS111" i="3"/>
  <c r="AT111" i="3"/>
  <c r="AU111" i="3"/>
  <c r="AV111" i="3"/>
  <c r="AW111" i="3"/>
  <c r="AX111" i="3"/>
  <c r="AY111" i="3"/>
  <c r="AR110" i="3"/>
  <c r="AS110" i="3"/>
  <c r="AT110" i="3"/>
  <c r="AU110" i="3"/>
  <c r="AV110" i="3"/>
  <c r="AW110" i="3"/>
  <c r="AY110" i="3"/>
  <c r="AQ113" i="3"/>
  <c r="AQ112" i="3"/>
  <c r="AQ111" i="3"/>
  <c r="AQ110" i="3"/>
  <c r="AQ103" i="3" l="1"/>
  <c r="AT103" i="3"/>
  <c r="AR103" i="3"/>
  <c r="AR102" i="3"/>
  <c r="AS102" i="3"/>
  <c r="AR100" i="3"/>
  <c r="AT125" i="3"/>
  <c r="AT122" i="3"/>
  <c r="AS125" i="3"/>
  <c r="AT100" i="3"/>
  <c r="AT123" i="3"/>
  <c r="AR101" i="3"/>
  <c r="AS122" i="3"/>
  <c r="AY125" i="3"/>
  <c r="AQ122" i="3"/>
  <c r="AS124" i="3"/>
  <c r="AT124" i="3"/>
  <c r="AV123" i="3"/>
  <c r="AS123" i="3"/>
  <c r="AV122" i="3"/>
  <c r="AV125" i="3"/>
  <c r="AQ123" i="3"/>
  <c r="AV124" i="3"/>
  <c r="AS100" i="3"/>
  <c r="AX101" i="3"/>
  <c r="AQ124" i="3"/>
  <c r="AR122" i="3"/>
  <c r="AR123" i="3"/>
  <c r="AR124" i="3"/>
  <c r="AR125" i="3"/>
  <c r="AU122" i="3"/>
  <c r="AU124" i="3"/>
  <c r="AU125" i="3"/>
  <c r="AW102" i="3"/>
  <c r="AZ97" i="3"/>
  <c r="AW101" i="3"/>
  <c r="AY122" i="3"/>
  <c r="AX123" i="3"/>
  <c r="AX124" i="3"/>
  <c r="AX125" i="3"/>
  <c r="AS103" i="3"/>
  <c r="AV101" i="3"/>
  <c r="AV102" i="3"/>
  <c r="AU100" i="3"/>
  <c r="AU101" i="3"/>
  <c r="AU102" i="3"/>
  <c r="AU103" i="3"/>
  <c r="AQ125" i="3"/>
  <c r="AY123" i="3"/>
  <c r="AY124" i="3"/>
  <c r="AZ117" i="3"/>
  <c r="AZ116" i="3"/>
  <c r="AZ95" i="3"/>
  <c r="AT101" i="3"/>
  <c r="AW122" i="3"/>
  <c r="AW123" i="3"/>
  <c r="AW124" i="3"/>
  <c r="AW125" i="3"/>
  <c r="AZ118" i="3"/>
  <c r="AZ119" i="3"/>
  <c r="AY100" i="3"/>
  <c r="AY101" i="3"/>
  <c r="AY102" i="3"/>
  <c r="AY103" i="3"/>
  <c r="AZ94" i="3"/>
  <c r="AU123" i="3"/>
  <c r="AZ110" i="3"/>
  <c r="AZ113" i="3"/>
  <c r="AZ112" i="3"/>
  <c r="AZ111" i="3"/>
  <c r="AZ96" i="3"/>
  <c r="AX100" i="3"/>
  <c r="AX102" i="3"/>
  <c r="AX103" i="3"/>
  <c r="AW100" i="3"/>
  <c r="AW103" i="3"/>
  <c r="AV100" i="3"/>
  <c r="AV103" i="3"/>
  <c r="AQ100" i="3"/>
  <c r="AT102" i="3"/>
  <c r="AS101" i="3"/>
  <c r="AZ91" i="3"/>
  <c r="AZ90" i="3"/>
  <c r="AZ89" i="3"/>
  <c r="AQ102" i="3"/>
  <c r="AQ101" i="3"/>
  <c r="AZ88" i="3"/>
  <c r="I64" i="3"/>
  <c r="AG91" i="3"/>
  <c r="AF119" i="3"/>
  <c r="AG119" i="3"/>
  <c r="AH119" i="3"/>
  <c r="AI119" i="3"/>
  <c r="AJ119" i="3"/>
  <c r="AK119" i="3"/>
  <c r="AL119" i="3"/>
  <c r="AM119" i="3"/>
  <c r="AE119" i="3"/>
  <c r="AF118" i="3"/>
  <c r="AG118" i="3"/>
  <c r="AH118" i="3"/>
  <c r="AI118" i="3"/>
  <c r="AJ118" i="3"/>
  <c r="AK118" i="3"/>
  <c r="AL118" i="3"/>
  <c r="AM118" i="3"/>
  <c r="AE118" i="3"/>
  <c r="AF117" i="3"/>
  <c r="AG117" i="3"/>
  <c r="AH117" i="3"/>
  <c r="AI117" i="3"/>
  <c r="AJ117" i="3"/>
  <c r="AK117" i="3"/>
  <c r="AL117" i="3"/>
  <c r="AM117" i="3"/>
  <c r="AE117" i="3"/>
  <c r="AF116" i="3"/>
  <c r="AG116" i="3"/>
  <c r="AH116" i="3"/>
  <c r="AI116" i="3"/>
  <c r="AJ116" i="3"/>
  <c r="AK116" i="3"/>
  <c r="AL116" i="3"/>
  <c r="AM116" i="3"/>
  <c r="AE116" i="3"/>
  <c r="AF113" i="3"/>
  <c r="AG113" i="3"/>
  <c r="AH113" i="3"/>
  <c r="AI113" i="3"/>
  <c r="AJ113" i="3"/>
  <c r="AK113" i="3"/>
  <c r="AL113" i="3"/>
  <c r="AM113" i="3"/>
  <c r="AE113" i="3"/>
  <c r="AF112" i="3"/>
  <c r="AG112" i="3"/>
  <c r="AH112" i="3"/>
  <c r="AI112" i="3"/>
  <c r="AJ112" i="3"/>
  <c r="AK112" i="3"/>
  <c r="AL112" i="3"/>
  <c r="AM112" i="3"/>
  <c r="AE112" i="3"/>
  <c r="AF111" i="3"/>
  <c r="AG111" i="3"/>
  <c r="AH111" i="3"/>
  <c r="AI111" i="3"/>
  <c r="AJ111" i="3"/>
  <c r="AK111" i="3"/>
  <c r="AL111" i="3"/>
  <c r="AM111" i="3"/>
  <c r="AE111" i="3"/>
  <c r="AF110" i="3"/>
  <c r="AG110" i="3"/>
  <c r="AH110" i="3"/>
  <c r="AI110" i="3"/>
  <c r="AJ110" i="3"/>
  <c r="AK110" i="3"/>
  <c r="AL110" i="3"/>
  <c r="AM110" i="3"/>
  <c r="AI123" i="3" l="1"/>
  <c r="AJ124" i="3"/>
  <c r="AH122" i="3"/>
  <c r="AR104" i="3"/>
  <c r="AS126" i="3"/>
  <c r="AX126" i="3"/>
  <c r="AT126" i="3"/>
  <c r="AY126" i="3"/>
  <c r="AQ126" i="3"/>
  <c r="AU126" i="3"/>
  <c r="AV126" i="3"/>
  <c r="AZ103" i="3"/>
  <c r="J93" i="3" s="1"/>
  <c r="F14" i="7" s="1"/>
  <c r="AW104" i="3"/>
  <c r="AU104" i="3"/>
  <c r="AY104" i="3"/>
  <c r="AS104" i="3"/>
  <c r="AT104" i="3"/>
  <c r="AR126" i="3"/>
  <c r="AZ101" i="3"/>
  <c r="J91" i="3" s="1"/>
  <c r="F12" i="7" s="1"/>
  <c r="AK125" i="3"/>
  <c r="AZ123" i="3"/>
  <c r="J113" i="3" s="1"/>
  <c r="H12" i="7" s="1"/>
  <c r="AR75" i="3"/>
  <c r="AR74" i="3"/>
  <c r="AR73" i="3"/>
  <c r="AR72" i="3"/>
  <c r="AQ75" i="3"/>
  <c r="AR69" i="3"/>
  <c r="AR68" i="3"/>
  <c r="AR67" i="3"/>
  <c r="AQ68" i="3"/>
  <c r="AS75" i="3"/>
  <c r="AS74" i="3"/>
  <c r="AS73" i="3"/>
  <c r="AS72" i="3"/>
  <c r="AQ74" i="3"/>
  <c r="AS69" i="3"/>
  <c r="AS68" i="3"/>
  <c r="AX66" i="3"/>
  <c r="AE72" i="3"/>
  <c r="AT75" i="3"/>
  <c r="AT74" i="3"/>
  <c r="AT73" i="3"/>
  <c r="AT72" i="3"/>
  <c r="AQ73" i="3"/>
  <c r="AT69" i="3"/>
  <c r="AT68" i="3"/>
  <c r="AT67" i="3"/>
  <c r="AQ67" i="3"/>
  <c r="AY66" i="3"/>
  <c r="AU74" i="3"/>
  <c r="AU72" i="3"/>
  <c r="AU69" i="3"/>
  <c r="AU68" i="3"/>
  <c r="AR66" i="3"/>
  <c r="AQ66" i="3"/>
  <c r="AY74" i="3"/>
  <c r="AV66" i="3"/>
  <c r="AE66" i="3"/>
  <c r="AU75" i="3"/>
  <c r="AU73" i="3"/>
  <c r="AQ72" i="3"/>
  <c r="AU67" i="3"/>
  <c r="AY72" i="3"/>
  <c r="AY68" i="3"/>
  <c r="AQ69" i="3"/>
  <c r="AV75" i="3"/>
  <c r="AV74" i="3"/>
  <c r="AV73" i="3"/>
  <c r="AV72" i="3"/>
  <c r="AV69" i="3"/>
  <c r="AV68" i="3"/>
  <c r="AV67" i="3"/>
  <c r="AS66" i="3"/>
  <c r="AW74" i="3"/>
  <c r="AW72" i="3"/>
  <c r="AW69" i="3"/>
  <c r="AW68" i="3"/>
  <c r="AW67" i="3"/>
  <c r="AT66" i="3"/>
  <c r="AY75" i="3"/>
  <c r="AW75" i="3"/>
  <c r="AW73" i="3"/>
  <c r="AY73" i="3"/>
  <c r="AY67" i="3"/>
  <c r="AS67" i="3"/>
  <c r="AX75" i="3"/>
  <c r="AX74" i="3"/>
  <c r="AX73" i="3"/>
  <c r="AX72" i="3"/>
  <c r="AX69" i="3"/>
  <c r="AX68" i="3"/>
  <c r="AX67" i="3"/>
  <c r="AU66" i="3"/>
  <c r="AY69" i="3"/>
  <c r="AW66" i="3"/>
  <c r="AZ124" i="3"/>
  <c r="J114" i="3" s="1"/>
  <c r="H13" i="7" s="1"/>
  <c r="AZ100" i="3"/>
  <c r="J90" i="3" s="1"/>
  <c r="F11" i="7" s="1"/>
  <c r="AZ125" i="3"/>
  <c r="J115" i="3" s="1"/>
  <c r="H14" i="7" s="1"/>
  <c r="AW126" i="3"/>
  <c r="AV104" i="3"/>
  <c r="AX104" i="3"/>
  <c r="AZ122" i="3"/>
  <c r="AE123" i="3"/>
  <c r="AZ102" i="3"/>
  <c r="J92" i="3" s="1"/>
  <c r="F13" i="7" s="1"/>
  <c r="AQ104" i="3"/>
  <c r="AE124" i="3"/>
  <c r="AM90" i="3"/>
  <c r="AH89" i="3"/>
  <c r="AL90" i="3"/>
  <c r="AF91" i="3"/>
  <c r="AJ122" i="3"/>
  <c r="AK123" i="3"/>
  <c r="AL124" i="3"/>
  <c r="AM125" i="3"/>
  <c r="AE122" i="3"/>
  <c r="AJ88" i="3"/>
  <c r="AK90" i="3"/>
  <c r="AK89" i="3"/>
  <c r="AI122" i="3"/>
  <c r="AJ123" i="3"/>
  <c r="AK124" i="3"/>
  <c r="AL125" i="3"/>
  <c r="AM122" i="3"/>
  <c r="AI88" i="3"/>
  <c r="AI90" i="3"/>
  <c r="AH88" i="3"/>
  <c r="AM91" i="3"/>
  <c r="AF88" i="3"/>
  <c r="AJ91" i="3"/>
  <c r="AN117" i="3"/>
  <c r="AF123" i="3"/>
  <c r="AG124" i="3"/>
  <c r="AH125" i="3"/>
  <c r="AL122" i="3"/>
  <c r="AM123" i="3"/>
  <c r="AF124" i="3"/>
  <c r="AG125" i="3"/>
  <c r="AM124" i="3"/>
  <c r="AG122" i="3"/>
  <c r="AH123" i="3"/>
  <c r="AI124" i="3"/>
  <c r="AJ125" i="3"/>
  <c r="AK122" i="3"/>
  <c r="AL123" i="3"/>
  <c r="AF125" i="3"/>
  <c r="AF122" i="3"/>
  <c r="AG123" i="3"/>
  <c r="AH124" i="3"/>
  <c r="AI125" i="3"/>
  <c r="AL89" i="3"/>
  <c r="AE91" i="3"/>
  <c r="AJ89" i="3"/>
  <c r="AL91" i="3"/>
  <c r="AN119" i="3"/>
  <c r="AG88" i="3"/>
  <c r="AI89" i="3"/>
  <c r="AJ90" i="3"/>
  <c r="AK91" i="3"/>
  <c r="AM88" i="3"/>
  <c r="AG89" i="3"/>
  <c r="AH90" i="3"/>
  <c r="AI91" i="3"/>
  <c r="AN118" i="3"/>
  <c r="AL88" i="3"/>
  <c r="AE89" i="3"/>
  <c r="AF89" i="3"/>
  <c r="AG90" i="3"/>
  <c r="AH91" i="3"/>
  <c r="AE125" i="3"/>
  <c r="AN116" i="3"/>
  <c r="AK88" i="3"/>
  <c r="AM89" i="3"/>
  <c r="AE90" i="3"/>
  <c r="AF90" i="3"/>
  <c r="AN110" i="3"/>
  <c r="AN111" i="3"/>
  <c r="AN112" i="3"/>
  <c r="AN113" i="3"/>
  <c r="AM97" i="3"/>
  <c r="AL97" i="3"/>
  <c r="AK97" i="3"/>
  <c r="AG97" i="3"/>
  <c r="AG103" i="3" s="1"/>
  <c r="AF97" i="3"/>
  <c r="AE97" i="3"/>
  <c r="AM96" i="3"/>
  <c r="AL96" i="3"/>
  <c r="AH96" i="3"/>
  <c r="AG96" i="3"/>
  <c r="AF96" i="3"/>
  <c r="AE95" i="3"/>
  <c r="AE96" i="3"/>
  <c r="AJ95" i="3"/>
  <c r="AI95" i="3"/>
  <c r="AH95" i="3"/>
  <c r="AG95" i="3"/>
  <c r="AF95" i="3"/>
  <c r="AJ94" i="3"/>
  <c r="AI94" i="3"/>
  <c r="AH94" i="3"/>
  <c r="AG94" i="3"/>
  <c r="AF94" i="3"/>
  <c r="AE75" i="3"/>
  <c r="AN125" i="3" l="1"/>
  <c r="I115" i="3" s="1"/>
  <c r="G14" i="7" s="1"/>
  <c r="AU79" i="3"/>
  <c r="AU78" i="3"/>
  <c r="AJ126" i="3"/>
  <c r="AW79" i="3"/>
  <c r="AR78" i="3"/>
  <c r="AW80" i="3"/>
  <c r="AU80" i="3"/>
  <c r="AR80" i="3"/>
  <c r="AU81" i="3"/>
  <c r="AS78" i="3"/>
  <c r="AY78" i="3"/>
  <c r="AY79" i="3"/>
  <c r="AT78" i="3"/>
  <c r="AZ126" i="3"/>
  <c r="J116" i="3" s="1"/>
  <c r="H15" i="7" s="1"/>
  <c r="AG126" i="3"/>
  <c r="AY80" i="3"/>
  <c r="AV78" i="3"/>
  <c r="AS81" i="3"/>
  <c r="AY81" i="3"/>
  <c r="AV81" i="3"/>
  <c r="AT80" i="3"/>
  <c r="AV79" i="3"/>
  <c r="AI126" i="3"/>
  <c r="AS79" i="3"/>
  <c r="AT81" i="3"/>
  <c r="AS80" i="3"/>
  <c r="AR79" i="3"/>
  <c r="AX80" i="3"/>
  <c r="AF126" i="3"/>
  <c r="AZ72" i="3"/>
  <c r="AX79" i="3"/>
  <c r="AW81" i="3"/>
  <c r="AZ73" i="3"/>
  <c r="AK126" i="3"/>
  <c r="AZ74" i="3"/>
  <c r="AR81" i="3"/>
  <c r="AX81" i="3"/>
  <c r="AZ75" i="3"/>
  <c r="AQ81" i="3"/>
  <c r="AZ69" i="3"/>
  <c r="J112" i="3"/>
  <c r="H11" i="7" s="1"/>
  <c r="AQ79" i="3"/>
  <c r="AZ67" i="3"/>
  <c r="AW78" i="3"/>
  <c r="AV80" i="3"/>
  <c r="AQ78" i="3"/>
  <c r="AZ66" i="3"/>
  <c r="AT79" i="3"/>
  <c r="AX78" i="3"/>
  <c r="AQ80" i="3"/>
  <c r="AZ68" i="3"/>
  <c r="AL126" i="3"/>
  <c r="AZ104" i="3"/>
  <c r="J94" i="3" s="1"/>
  <c r="F15" i="7" s="1"/>
  <c r="AM126" i="3"/>
  <c r="AN88" i="3"/>
  <c r="AN124" i="3"/>
  <c r="I114" i="3" s="1"/>
  <c r="G13" i="7" s="1"/>
  <c r="AE126" i="3"/>
  <c r="AN91" i="3"/>
  <c r="AN122" i="3"/>
  <c r="AH126" i="3"/>
  <c r="AJ101" i="3"/>
  <c r="AN123" i="3"/>
  <c r="I113" i="3" s="1"/>
  <c r="G12" i="7" s="1"/>
  <c r="AI101" i="3"/>
  <c r="AH102" i="3"/>
  <c r="AE101" i="3"/>
  <c r="AK103" i="3"/>
  <c r="AJ100" i="3"/>
  <c r="AF101" i="3"/>
  <c r="AE102" i="3"/>
  <c r="AM102" i="3"/>
  <c r="AL103" i="3"/>
  <c r="AK94" i="3"/>
  <c r="AK95" i="3"/>
  <c r="AK101" i="3" s="1"/>
  <c r="AI96" i="3"/>
  <c r="AI102" i="3" s="1"/>
  <c r="AH97" i="3"/>
  <c r="AH103" i="3" s="1"/>
  <c r="AH100" i="3"/>
  <c r="AI100" i="3"/>
  <c r="AG101" i="3"/>
  <c r="AF102" i="3"/>
  <c r="AE103" i="3"/>
  <c r="AM103" i="3"/>
  <c r="AL94" i="3"/>
  <c r="AL95" i="3"/>
  <c r="AL101" i="3" s="1"/>
  <c r="AJ96" i="3"/>
  <c r="AJ102" i="3" s="1"/>
  <c r="AI97" i="3"/>
  <c r="AI103" i="3" s="1"/>
  <c r="AF100" i="3"/>
  <c r="AG100" i="3"/>
  <c r="AL102" i="3"/>
  <c r="AH101" i="3"/>
  <c r="AG102" i="3"/>
  <c r="AF103" i="3"/>
  <c r="AM94" i="3"/>
  <c r="AM100" i="3" s="1"/>
  <c r="AM95" i="3"/>
  <c r="AM101" i="3" s="1"/>
  <c r="AK96" i="3"/>
  <c r="AK102" i="3" s="1"/>
  <c r="AJ97" i="3"/>
  <c r="AJ103" i="3" s="1"/>
  <c r="AN90" i="3"/>
  <c r="K72" i="3"/>
  <c r="K66" i="3"/>
  <c r="AO40" i="3"/>
  <c r="AO39" i="3"/>
  <c r="AO38" i="3"/>
  <c r="AN40" i="3"/>
  <c r="AN39" i="3"/>
  <c r="AN38" i="3"/>
  <c r="AM38" i="3"/>
  <c r="AM40" i="3"/>
  <c r="AM39" i="3"/>
  <c r="T42" i="3"/>
  <c r="S42" i="3"/>
  <c r="R42" i="3"/>
  <c r="Q42" i="3"/>
  <c r="P42" i="3"/>
  <c r="O42" i="3"/>
  <c r="N42" i="3"/>
  <c r="M42" i="3"/>
  <c r="L42" i="3"/>
  <c r="T41" i="3"/>
  <c r="S41" i="3"/>
  <c r="R41" i="3"/>
  <c r="Q41" i="3"/>
  <c r="P41" i="3"/>
  <c r="O41" i="3"/>
  <c r="N41" i="3"/>
  <c r="M41" i="3"/>
  <c r="L41" i="3"/>
  <c r="K42" i="3"/>
  <c r="K41" i="3"/>
  <c r="AY82" i="3" l="1"/>
  <c r="AU82" i="3"/>
  <c r="AZ81" i="3"/>
  <c r="J71" i="3" s="1"/>
  <c r="D14" i="7" s="1"/>
  <c r="AR82" i="3"/>
  <c r="AS82" i="3"/>
  <c r="AW82" i="3"/>
  <c r="AV82" i="3"/>
  <c r="AT82" i="3"/>
  <c r="AZ79" i="3"/>
  <c r="J69" i="3" s="1"/>
  <c r="D12" i="7" s="1"/>
  <c r="AN42" i="3"/>
  <c r="AV31" i="3"/>
  <c r="AX82" i="3"/>
  <c r="AN43" i="3"/>
  <c r="AZ78" i="3"/>
  <c r="AM42" i="3"/>
  <c r="AM31" i="3"/>
  <c r="AO42" i="3"/>
  <c r="BE31" i="3"/>
  <c r="AQ82" i="3"/>
  <c r="AN126" i="3"/>
  <c r="I116" i="3" s="1"/>
  <c r="G15" i="7" s="1"/>
  <c r="AZ80" i="3"/>
  <c r="J70" i="3" s="1"/>
  <c r="D13" i="7" s="1"/>
  <c r="I112" i="3"/>
  <c r="G11" i="7" s="1"/>
  <c r="AN97" i="3"/>
  <c r="AN103" i="3" s="1"/>
  <c r="I93" i="3" s="1"/>
  <c r="E14" i="7" s="1"/>
  <c r="AM43" i="3"/>
  <c r="AM44" i="3"/>
  <c r="AN31" i="3"/>
  <c r="AO32" i="3"/>
  <c r="AO43" i="3"/>
  <c r="AH104" i="3"/>
  <c r="AJ104" i="3"/>
  <c r="AF104" i="3"/>
  <c r="AG104" i="3"/>
  <c r="AM104" i="3"/>
  <c r="AX31" i="3"/>
  <c r="AW31" i="3"/>
  <c r="AV32" i="3"/>
  <c r="BD32" i="3"/>
  <c r="BC31" i="3"/>
  <c r="BD31" i="3"/>
  <c r="BC32" i="3"/>
  <c r="AZ32" i="3"/>
  <c r="AZ31" i="3"/>
  <c r="BB32" i="3"/>
  <c r="BB31" i="3"/>
  <c r="AX32" i="3"/>
  <c r="BA32" i="3"/>
  <c r="BA31" i="3"/>
  <c r="AY32" i="3"/>
  <c r="AY31" i="3"/>
  <c r="AW32" i="3"/>
  <c r="AO44" i="3"/>
  <c r="BH32" i="3"/>
  <c r="BL31" i="3"/>
  <c r="BG32" i="3"/>
  <c r="BK31" i="3"/>
  <c r="BL32" i="3"/>
  <c r="BH31" i="3"/>
  <c r="BF32" i="3"/>
  <c r="BJ31" i="3"/>
  <c r="BK32" i="3"/>
  <c r="BG31" i="3"/>
  <c r="BJ32" i="3"/>
  <c r="BF31" i="3"/>
  <c r="BI32" i="3"/>
  <c r="BM32" i="3"/>
  <c r="BE32" i="3"/>
  <c r="BI31" i="3"/>
  <c r="BM31" i="3"/>
  <c r="AN95" i="3"/>
  <c r="AN94" i="3"/>
  <c r="AN100" i="3" s="1"/>
  <c r="I90" i="3" s="1"/>
  <c r="E11" i="7" s="1"/>
  <c r="AE100" i="3"/>
  <c r="AE104" i="3" s="1"/>
  <c r="AN96" i="3"/>
  <c r="AN102" i="3" s="1"/>
  <c r="I92" i="3" s="1"/>
  <c r="E13" i="7" s="1"/>
  <c r="AK100" i="3"/>
  <c r="AK104" i="3" s="1"/>
  <c r="AU32" i="3"/>
  <c r="AU31" i="3"/>
  <c r="AN89" i="3"/>
  <c r="AL100" i="3"/>
  <c r="AL104" i="3" s="1"/>
  <c r="AI104" i="3"/>
  <c r="AJ75" i="3"/>
  <c r="AK74" i="3"/>
  <c r="AI75" i="3"/>
  <c r="AH75" i="3"/>
  <c r="AI74" i="3"/>
  <c r="AG74" i="3"/>
  <c r="AF74" i="3"/>
  <c r="AK75" i="3"/>
  <c r="AG75" i="3"/>
  <c r="AH74" i="3"/>
  <c r="AF75" i="3"/>
  <c r="AM75" i="3"/>
  <c r="AL74" i="3"/>
  <c r="AL75" i="3"/>
  <c r="AM74" i="3"/>
  <c r="AE74" i="3"/>
  <c r="AJ74" i="3"/>
  <c r="AI66" i="3"/>
  <c r="AG67" i="3"/>
  <c r="AF68" i="3"/>
  <c r="AF69" i="3"/>
  <c r="AG72" i="3"/>
  <c r="AE73" i="3"/>
  <c r="AM73" i="3"/>
  <c r="AJ66" i="3"/>
  <c r="AH67" i="3"/>
  <c r="AH68" i="3"/>
  <c r="AG69" i="3"/>
  <c r="AH72" i="3"/>
  <c r="AF73" i="3"/>
  <c r="AK66" i="3"/>
  <c r="AG73" i="3"/>
  <c r="AL66" i="3"/>
  <c r="AJ67" i="3"/>
  <c r="AJ68" i="3"/>
  <c r="AJ69" i="3"/>
  <c r="AJ72" i="3"/>
  <c r="AH73" i="3"/>
  <c r="AI67" i="3"/>
  <c r="AI69" i="3"/>
  <c r="AI72" i="3"/>
  <c r="AN44" i="3"/>
  <c r="AP31" i="3"/>
  <c r="AM66" i="3"/>
  <c r="AK67" i="3"/>
  <c r="AK68" i="3"/>
  <c r="AK69" i="3"/>
  <c r="AF67" i="3"/>
  <c r="AK72" i="3"/>
  <c r="AI73" i="3"/>
  <c r="AI68" i="3"/>
  <c r="AQ31" i="3"/>
  <c r="AF66" i="3"/>
  <c r="AL67" i="3"/>
  <c r="AL68" i="3"/>
  <c r="AL69" i="3"/>
  <c r="AG68" i="3"/>
  <c r="AL72" i="3"/>
  <c r="AJ73" i="3"/>
  <c r="AG66" i="3"/>
  <c r="AM67" i="3"/>
  <c r="AM68" i="3"/>
  <c r="AM69" i="3"/>
  <c r="AH69" i="3"/>
  <c r="AM72" i="3"/>
  <c r="AK73" i="3"/>
  <c r="AH66" i="3"/>
  <c r="AE67" i="3"/>
  <c r="AE68" i="3"/>
  <c r="AE69" i="3"/>
  <c r="AF72" i="3"/>
  <c r="AL73" i="3"/>
  <c r="AO31" i="3"/>
  <c r="AN32" i="3"/>
  <c r="AP32" i="3"/>
  <c r="AR31" i="3"/>
  <c r="AQ32" i="3"/>
  <c r="AS31" i="3"/>
  <c r="AR32" i="3"/>
  <c r="AT31" i="3"/>
  <c r="AS32" i="3"/>
  <c r="AT32" i="3"/>
  <c r="AM32" i="3"/>
  <c r="DS30" i="3"/>
  <c r="C34" i="3"/>
  <c r="D34" i="3"/>
  <c r="E34" i="3"/>
  <c r="F34" i="3"/>
  <c r="G34" i="3"/>
  <c r="H34" i="3"/>
  <c r="I34" i="3"/>
  <c r="J34" i="3"/>
  <c r="C33" i="3"/>
  <c r="D33" i="3"/>
  <c r="E33" i="3"/>
  <c r="F33" i="3"/>
  <c r="G33" i="3"/>
  <c r="H33" i="3"/>
  <c r="I33" i="3"/>
  <c r="J33" i="3"/>
  <c r="C32" i="3"/>
  <c r="D32" i="3"/>
  <c r="E32" i="3"/>
  <c r="F32" i="3"/>
  <c r="G32" i="3"/>
  <c r="H32" i="3"/>
  <c r="I32" i="3"/>
  <c r="J32" i="3"/>
  <c r="C31" i="3"/>
  <c r="D31" i="3"/>
  <c r="E31" i="3"/>
  <c r="F31" i="3"/>
  <c r="G31" i="3"/>
  <c r="H31" i="3"/>
  <c r="I31" i="3"/>
  <c r="J31" i="3"/>
  <c r="B32" i="3"/>
  <c r="B33" i="3"/>
  <c r="B34" i="3"/>
  <c r="B31" i="3"/>
  <c r="C28" i="3"/>
  <c r="D28" i="3"/>
  <c r="E28" i="3"/>
  <c r="F28" i="3"/>
  <c r="G28" i="3"/>
  <c r="H28" i="3"/>
  <c r="I28" i="3"/>
  <c r="J28" i="3"/>
  <c r="B28" i="3"/>
  <c r="C21" i="3"/>
  <c r="D21" i="3"/>
  <c r="E21" i="3"/>
  <c r="F21" i="3"/>
  <c r="G21" i="3"/>
  <c r="H21" i="3"/>
  <c r="I21" i="3"/>
  <c r="J21" i="3"/>
  <c r="B21" i="3"/>
  <c r="C14" i="3"/>
  <c r="D14" i="3"/>
  <c r="E14" i="3"/>
  <c r="F14" i="3"/>
  <c r="G14" i="3"/>
  <c r="H14" i="3"/>
  <c r="I14" i="3"/>
  <c r="J14" i="3"/>
  <c r="B14" i="3"/>
  <c r="C7" i="3"/>
  <c r="D7" i="3"/>
  <c r="E7" i="3"/>
  <c r="F7" i="3"/>
  <c r="G7" i="3"/>
  <c r="H7" i="3"/>
  <c r="I7" i="3"/>
  <c r="J7" i="3"/>
  <c r="B7" i="3"/>
  <c r="K4" i="3"/>
  <c r="K5" i="3"/>
  <c r="K6" i="3"/>
  <c r="K10" i="3"/>
  <c r="K11" i="3"/>
  <c r="K12" i="3"/>
  <c r="K13" i="3"/>
  <c r="K17" i="3"/>
  <c r="K18" i="3"/>
  <c r="K19" i="3"/>
  <c r="K20" i="3"/>
  <c r="K24" i="3"/>
  <c r="K25" i="3"/>
  <c r="K26" i="3"/>
  <c r="K27" i="3"/>
  <c r="K3" i="3"/>
  <c r="V27" i="3"/>
  <c r="BO26" i="3" s="1"/>
  <c r="W27" i="3"/>
  <c r="X27" i="3"/>
  <c r="CA26" i="3" s="1"/>
  <c r="Y27" i="3"/>
  <c r="CL26" i="3" s="1"/>
  <c r="Z27" i="3"/>
  <c r="CM26" i="3" s="1"/>
  <c r="AA27" i="3"/>
  <c r="CD26" i="3" s="1"/>
  <c r="AB27" i="3"/>
  <c r="CE26" i="3" s="1"/>
  <c r="AC27" i="3"/>
  <c r="V26" i="3"/>
  <c r="W26" i="3"/>
  <c r="CJ25" i="3" s="1"/>
  <c r="X26" i="3"/>
  <c r="Y26" i="3"/>
  <c r="CB25" i="3" s="1"/>
  <c r="Z26" i="3"/>
  <c r="BS25" i="3" s="1"/>
  <c r="AA26" i="3"/>
  <c r="BT25" i="3" s="1"/>
  <c r="AB26" i="3"/>
  <c r="BU25" i="3" s="1"/>
  <c r="AC26" i="3"/>
  <c r="V25" i="3"/>
  <c r="BO24" i="3" s="1"/>
  <c r="W25" i="3"/>
  <c r="X25" i="3"/>
  <c r="Y25" i="3"/>
  <c r="CB24" i="3" s="1"/>
  <c r="Z25" i="3"/>
  <c r="AA25" i="3"/>
  <c r="BT24" i="3" s="1"/>
  <c r="AB25" i="3"/>
  <c r="CO24" i="3" s="1"/>
  <c r="AC25" i="3"/>
  <c r="V24" i="3"/>
  <c r="W24" i="3"/>
  <c r="X24" i="3"/>
  <c r="Y24" i="3"/>
  <c r="CL23" i="3" s="1"/>
  <c r="Z24" i="3"/>
  <c r="CC23" i="3" s="1"/>
  <c r="AA24" i="3"/>
  <c r="CD23" i="3" s="1"/>
  <c r="AB24" i="3"/>
  <c r="BU23" i="3" s="1"/>
  <c r="AC24" i="3"/>
  <c r="V20" i="3"/>
  <c r="BO19" i="3" s="1"/>
  <c r="W20" i="3"/>
  <c r="X20" i="3"/>
  <c r="Y20" i="3"/>
  <c r="Z20" i="3"/>
  <c r="AA20" i="3"/>
  <c r="CN19" i="3" s="1"/>
  <c r="AB20" i="3"/>
  <c r="BU19" i="3" s="1"/>
  <c r="AC20" i="3"/>
  <c r="V19" i="3"/>
  <c r="BO18" i="3" s="1"/>
  <c r="W19" i="3"/>
  <c r="CJ18" i="3" s="1"/>
  <c r="X19" i="3"/>
  <c r="Y19" i="3"/>
  <c r="BR18" i="3" s="1"/>
  <c r="Z19" i="3"/>
  <c r="CM18" i="3" s="1"/>
  <c r="AA19" i="3"/>
  <c r="CN18" i="3" s="1"/>
  <c r="AB19" i="3"/>
  <c r="BU18" i="3" s="1"/>
  <c r="AC19" i="3"/>
  <c r="V18" i="3"/>
  <c r="BO17" i="3" s="1"/>
  <c r="W18" i="3"/>
  <c r="BZ17" i="3" s="1"/>
  <c r="X18" i="3"/>
  <c r="CA17" i="3" s="1"/>
  <c r="Y18" i="3"/>
  <c r="Z18" i="3"/>
  <c r="CM17" i="3" s="1"/>
  <c r="AA18" i="3"/>
  <c r="BT17" i="3" s="1"/>
  <c r="AB18" i="3"/>
  <c r="CO17" i="3" s="1"/>
  <c r="AC18" i="3"/>
  <c r="V17" i="3"/>
  <c r="W17" i="3"/>
  <c r="X17" i="3"/>
  <c r="CA16" i="3" s="1"/>
  <c r="Y17" i="3"/>
  <c r="Z17" i="3"/>
  <c r="CM16" i="3" s="1"/>
  <c r="AA17" i="3"/>
  <c r="BT16" i="3" s="1"/>
  <c r="AB17" i="3"/>
  <c r="BU16" i="3" s="1"/>
  <c r="AC17" i="3"/>
  <c r="V13" i="3"/>
  <c r="W13" i="3"/>
  <c r="X13" i="3"/>
  <c r="AG27" i="3" s="1"/>
  <c r="Y13" i="3"/>
  <c r="Z13" i="3"/>
  <c r="AA13" i="3"/>
  <c r="AB13" i="3"/>
  <c r="AK27" i="3" s="1"/>
  <c r="AC13" i="3"/>
  <c r="V12" i="3"/>
  <c r="W12" i="3"/>
  <c r="X12" i="3"/>
  <c r="AG26" i="3" s="1"/>
  <c r="Y12" i="3"/>
  <c r="Z12" i="3"/>
  <c r="AA12" i="3"/>
  <c r="AB12" i="3"/>
  <c r="AK26" i="3" s="1"/>
  <c r="AC12" i="3"/>
  <c r="V11" i="3"/>
  <c r="W11" i="3"/>
  <c r="X11" i="3"/>
  <c r="AG25" i="3" s="1"/>
  <c r="Y11" i="3"/>
  <c r="Z11" i="3"/>
  <c r="AI25" i="3" s="1"/>
  <c r="AA11" i="3"/>
  <c r="AB11" i="3"/>
  <c r="AK25" i="3" s="1"/>
  <c r="AC11" i="3"/>
  <c r="V10" i="3"/>
  <c r="W10" i="3"/>
  <c r="X10" i="3"/>
  <c r="AG24" i="3" s="1"/>
  <c r="Y10" i="3"/>
  <c r="Z10" i="3"/>
  <c r="AA10" i="3"/>
  <c r="AB10" i="3"/>
  <c r="AK24" i="3" s="1"/>
  <c r="AC10" i="3"/>
  <c r="V6" i="3"/>
  <c r="AE20" i="3" s="1"/>
  <c r="W6" i="3"/>
  <c r="AF20" i="3" s="1"/>
  <c r="X6" i="3"/>
  <c r="AG20" i="3" s="1"/>
  <c r="Y6" i="3"/>
  <c r="AH20" i="3" s="1"/>
  <c r="Z6" i="3"/>
  <c r="AI20" i="3" s="1"/>
  <c r="AA6" i="3"/>
  <c r="AJ20" i="3" s="1"/>
  <c r="AB6" i="3"/>
  <c r="AK20" i="3" s="1"/>
  <c r="AC6" i="3"/>
  <c r="V5" i="3"/>
  <c r="AE19" i="3" s="1"/>
  <c r="W5" i="3"/>
  <c r="AF19" i="3" s="1"/>
  <c r="X5" i="3"/>
  <c r="AG19" i="3" s="1"/>
  <c r="Y5" i="3"/>
  <c r="AH19" i="3" s="1"/>
  <c r="Z5" i="3"/>
  <c r="AI19" i="3" s="1"/>
  <c r="AA5" i="3"/>
  <c r="AJ19" i="3" s="1"/>
  <c r="AB5" i="3"/>
  <c r="AK19" i="3" s="1"/>
  <c r="AC5" i="3"/>
  <c r="AL19" i="3" s="1"/>
  <c r="AC4" i="3"/>
  <c r="V4" i="3"/>
  <c r="W4" i="3"/>
  <c r="X4" i="3"/>
  <c r="Y4" i="3"/>
  <c r="Z4" i="3"/>
  <c r="AA4" i="3"/>
  <c r="AB4" i="3"/>
  <c r="V3" i="3"/>
  <c r="AE17" i="3" s="1"/>
  <c r="W3" i="3"/>
  <c r="AF17" i="3" s="1"/>
  <c r="X3" i="3"/>
  <c r="AG17" i="3" s="1"/>
  <c r="Y3" i="3"/>
  <c r="AH17" i="3" s="1"/>
  <c r="DF16" i="3" s="1"/>
  <c r="Z3" i="3"/>
  <c r="AI17" i="3" s="1"/>
  <c r="AA3" i="3"/>
  <c r="AJ17" i="3" s="1"/>
  <c r="AB3" i="3"/>
  <c r="AK17" i="3" s="1"/>
  <c r="AC3" i="3"/>
  <c r="AL17" i="3" s="1"/>
  <c r="U4" i="3"/>
  <c r="U5" i="3"/>
  <c r="U6" i="3"/>
  <c r="U10" i="3"/>
  <c r="U11" i="3"/>
  <c r="U12" i="3"/>
  <c r="U13" i="3"/>
  <c r="U17" i="3"/>
  <c r="U18" i="3"/>
  <c r="BN17" i="3" s="1"/>
  <c r="U19" i="3"/>
  <c r="U20" i="3"/>
  <c r="U24" i="3"/>
  <c r="BN23" i="3" s="1"/>
  <c r="U25" i="3"/>
  <c r="BN24" i="3" s="1"/>
  <c r="U26" i="3"/>
  <c r="U27" i="3"/>
  <c r="BN26" i="3" s="1"/>
  <c r="U3" i="3"/>
  <c r="I10" i="4"/>
  <c r="J10" i="4"/>
  <c r="K10" i="4"/>
  <c r="I9" i="4"/>
  <c r="J9" i="4"/>
  <c r="K9" i="4"/>
  <c r="I8" i="4"/>
  <c r="J8" i="4"/>
  <c r="K8" i="4"/>
  <c r="I7" i="4"/>
  <c r="J7" i="4"/>
  <c r="K7" i="4"/>
  <c r="I6" i="4"/>
  <c r="J6" i="4"/>
  <c r="K6" i="4"/>
  <c r="I5" i="4"/>
  <c r="J5" i="4"/>
  <c r="K5" i="4"/>
  <c r="I4" i="4"/>
  <c r="J4" i="4"/>
  <c r="K4" i="4"/>
  <c r="I3" i="4"/>
  <c r="J3" i="4"/>
  <c r="K3" i="4"/>
  <c r="I2" i="4"/>
  <c r="J2" i="4"/>
  <c r="K2" i="4"/>
  <c r="H10" i="4"/>
  <c r="H9" i="4"/>
  <c r="H8" i="4"/>
  <c r="H7" i="4"/>
  <c r="H6" i="4"/>
  <c r="H5" i="4"/>
  <c r="H4" i="4"/>
  <c r="H3" i="4"/>
  <c r="H2" i="4"/>
  <c r="AK81" i="3" l="1"/>
  <c r="AG80" i="3"/>
  <c r="J68" i="3"/>
  <c r="D11" i="7" s="1"/>
  <c r="AZ82" i="3"/>
  <c r="J72" i="3" s="1"/>
  <c r="D15" i="7" s="1"/>
  <c r="AL80" i="3"/>
  <c r="AN101" i="3"/>
  <c r="I91" i="3" s="1"/>
  <c r="E12" i="7" s="1"/>
  <c r="AI80" i="3"/>
  <c r="AH81" i="3"/>
  <c r="AM81" i="3"/>
  <c r="AG78" i="3"/>
  <c r="AD17" i="3"/>
  <c r="DB16" i="3" s="1"/>
  <c r="AL79" i="3"/>
  <c r="AK80" i="3"/>
  <c r="AK78" i="3"/>
  <c r="AH80" i="3"/>
  <c r="AH78" i="3"/>
  <c r="AM78" i="3"/>
  <c r="AE78" i="3"/>
  <c r="AD26" i="3"/>
  <c r="AJ80" i="3"/>
  <c r="F35" i="3"/>
  <c r="AI81" i="3"/>
  <c r="AL78" i="3"/>
  <c r="AI78" i="3"/>
  <c r="AM80" i="3"/>
  <c r="AE79" i="3"/>
  <c r="AN67" i="3"/>
  <c r="AM79" i="3"/>
  <c r="AF78" i="3"/>
  <c r="AK79" i="3"/>
  <c r="AN73" i="3"/>
  <c r="AJ81" i="3"/>
  <c r="AF81" i="3"/>
  <c r="AN66" i="3"/>
  <c r="AG81" i="3"/>
  <c r="AF80" i="3"/>
  <c r="AN75" i="3"/>
  <c r="D35" i="3"/>
  <c r="AN72" i="3"/>
  <c r="AJ79" i="3"/>
  <c r="AG79" i="3"/>
  <c r="AL81" i="3"/>
  <c r="AF79" i="3"/>
  <c r="AH79" i="3"/>
  <c r="AE81" i="3"/>
  <c r="AN69" i="3"/>
  <c r="AI79" i="3"/>
  <c r="AJ78" i="3"/>
  <c r="AE80" i="3"/>
  <c r="AN68" i="3"/>
  <c r="AN74" i="3"/>
  <c r="AL20" i="3"/>
  <c r="DT19" i="3" s="1"/>
  <c r="BT23" i="3"/>
  <c r="BT30" i="3" s="1"/>
  <c r="H35" i="3"/>
  <c r="J35" i="3"/>
  <c r="B35" i="3"/>
  <c r="C35" i="3"/>
  <c r="BN31" i="3"/>
  <c r="AJ18" i="3"/>
  <c r="DR17" i="3" s="1"/>
  <c r="CC16" i="3"/>
  <c r="CC30" i="3" s="1"/>
  <c r="CN24" i="3"/>
  <c r="BU17" i="3"/>
  <c r="BU20" i="3" s="1"/>
  <c r="AH18" i="3"/>
  <c r="DF17" i="3" s="1"/>
  <c r="BT19" i="3"/>
  <c r="AF18" i="3"/>
  <c r="DD17" i="3" s="1"/>
  <c r="G35" i="3"/>
  <c r="AF27" i="3"/>
  <c r="DN26" i="3" s="1"/>
  <c r="CJ32" i="3"/>
  <c r="AF24" i="3"/>
  <c r="CT23" i="3" s="1"/>
  <c r="BU26" i="3"/>
  <c r="BU33" i="3" s="1"/>
  <c r="BX23" i="3"/>
  <c r="E35" i="3"/>
  <c r="BN25" i="3"/>
  <c r="BN27" i="3" s="1"/>
  <c r="CB18" i="3"/>
  <c r="CB32" i="3" s="1"/>
  <c r="CX19" i="3"/>
  <c r="DQ19" i="3"/>
  <c r="CW24" i="3"/>
  <c r="CC26" i="3"/>
  <c r="CV16" i="3"/>
  <c r="DF19" i="3"/>
  <c r="CD16" i="3"/>
  <c r="CD30" i="3" s="1"/>
  <c r="BZ18" i="3"/>
  <c r="CH25" i="3"/>
  <c r="CM24" i="3"/>
  <c r="CM31" i="3" s="1"/>
  <c r="BT26" i="3"/>
  <c r="CB16" i="3"/>
  <c r="CE24" i="3"/>
  <c r="CL16" i="3"/>
  <c r="CL30" i="3" s="1"/>
  <c r="BO31" i="3"/>
  <c r="CC24" i="3"/>
  <c r="CO31" i="3"/>
  <c r="BU24" i="3"/>
  <c r="BX26" i="3"/>
  <c r="CB17" i="3"/>
  <c r="CB31" i="3" s="1"/>
  <c r="DF18" i="3"/>
  <c r="BO33" i="3"/>
  <c r="K7" i="3"/>
  <c r="BX25" i="3"/>
  <c r="DQ16" i="3"/>
  <c r="CH24" i="3"/>
  <c r="CC17" i="3"/>
  <c r="K14" i="3"/>
  <c r="CX16" i="3"/>
  <c r="DR18" i="3"/>
  <c r="BT18" i="3"/>
  <c r="BT32" i="3" s="1"/>
  <c r="BX24" i="3"/>
  <c r="DQ18" i="3"/>
  <c r="AD20" i="3"/>
  <c r="CR19" i="3" s="1"/>
  <c r="CH19" i="3"/>
  <c r="BN19" i="3"/>
  <c r="BN33" i="3" s="1"/>
  <c r="BX19" i="3"/>
  <c r="AD18" i="3"/>
  <c r="DB17" i="3" s="1"/>
  <c r="CH17" i="3"/>
  <c r="BX17" i="3"/>
  <c r="DC18" i="3"/>
  <c r="DM18" i="3"/>
  <c r="AE25" i="3"/>
  <c r="DM24" i="3" s="1"/>
  <c r="CI24" i="3"/>
  <c r="CH16" i="3"/>
  <c r="BX16" i="3"/>
  <c r="BN16" i="3"/>
  <c r="BN30" i="3" s="1"/>
  <c r="CP16" i="3"/>
  <c r="DJ16" i="3"/>
  <c r="CZ16" i="3"/>
  <c r="DT16" i="3"/>
  <c r="BV16" i="3"/>
  <c r="AL18" i="3"/>
  <c r="DT17" i="3" s="1"/>
  <c r="BV17" i="3"/>
  <c r="CP18" i="3"/>
  <c r="DT18" i="3"/>
  <c r="CZ18" i="3"/>
  <c r="DJ18" i="3"/>
  <c r="BV18" i="3"/>
  <c r="CP19" i="3"/>
  <c r="BV19" i="3"/>
  <c r="CP23" i="3"/>
  <c r="BV23" i="3"/>
  <c r="CP24" i="3"/>
  <c r="AL25" i="3"/>
  <c r="CZ24" i="3" s="1"/>
  <c r="BV24" i="3"/>
  <c r="CP25" i="3"/>
  <c r="BV25" i="3"/>
  <c r="CP26" i="3"/>
  <c r="AL27" i="3"/>
  <c r="DT26" i="3" s="1"/>
  <c r="BV26" i="3"/>
  <c r="BY18" i="3"/>
  <c r="BQ17" i="3"/>
  <c r="CK17" i="3"/>
  <c r="DO24" i="3"/>
  <c r="DE24" i="3"/>
  <c r="CA24" i="3"/>
  <c r="CA31" i="3" s="1"/>
  <c r="CU24" i="3"/>
  <c r="BQ24" i="3"/>
  <c r="BU30" i="3"/>
  <c r="AD19" i="3"/>
  <c r="CR18" i="3" s="1"/>
  <c r="BN18" i="3"/>
  <c r="CH18" i="3"/>
  <c r="BX18" i="3"/>
  <c r="DO18" i="3"/>
  <c r="DE18" i="3"/>
  <c r="CU18" i="3"/>
  <c r="BQ18" i="3"/>
  <c r="CK18" i="3"/>
  <c r="CA18" i="3"/>
  <c r="DO25" i="3"/>
  <c r="DE25" i="3"/>
  <c r="CU25" i="3"/>
  <c r="CK25" i="3"/>
  <c r="CA25" i="3"/>
  <c r="BQ25" i="3"/>
  <c r="CK24" i="3"/>
  <c r="CS16" i="3"/>
  <c r="BY16" i="3"/>
  <c r="DC16" i="3"/>
  <c r="DM16" i="3"/>
  <c r="DM19" i="3"/>
  <c r="DC19" i="3"/>
  <c r="CS19" i="3"/>
  <c r="CI19" i="3"/>
  <c r="AE26" i="3"/>
  <c r="CS25" i="3" s="1"/>
  <c r="BY25" i="3"/>
  <c r="CI25" i="3"/>
  <c r="BO16" i="3"/>
  <c r="BT31" i="3"/>
  <c r="BO25" i="3"/>
  <c r="CS18" i="3"/>
  <c r="BY19" i="3"/>
  <c r="BY24" i="3"/>
  <c r="DO16" i="3"/>
  <c r="DE16" i="3"/>
  <c r="CU16" i="3"/>
  <c r="BQ16" i="3"/>
  <c r="CK16" i="3"/>
  <c r="DO19" i="3"/>
  <c r="CK19" i="3"/>
  <c r="DE19" i="3"/>
  <c r="CU19" i="3"/>
  <c r="BQ19" i="3"/>
  <c r="DO23" i="3"/>
  <c r="DE23" i="3"/>
  <c r="CU23" i="3"/>
  <c r="CK23" i="3"/>
  <c r="BQ23" i="3"/>
  <c r="CA23" i="3"/>
  <c r="DO26" i="3"/>
  <c r="DE26" i="3"/>
  <c r="CU26" i="3"/>
  <c r="BQ26" i="3"/>
  <c r="CK26" i="3"/>
  <c r="CI17" i="3"/>
  <c r="BY17" i="3"/>
  <c r="AE24" i="3"/>
  <c r="DM23" i="3" s="1"/>
  <c r="CI23" i="3"/>
  <c r="BY23" i="3"/>
  <c r="AE27" i="3"/>
  <c r="DM26" i="3" s="1"/>
  <c r="BY26" i="3"/>
  <c r="CI26" i="3"/>
  <c r="CI18" i="3"/>
  <c r="CA19" i="3"/>
  <c r="CA33" i="3" s="1"/>
  <c r="BU32" i="3"/>
  <c r="BO23" i="3"/>
  <c r="CI16" i="3"/>
  <c r="DD16" i="3"/>
  <c r="CJ16" i="3"/>
  <c r="DD18" i="3"/>
  <c r="DD19" i="3"/>
  <c r="CJ23" i="3"/>
  <c r="BZ24" i="3"/>
  <c r="BZ31" i="3" s="1"/>
  <c r="BZ25" i="3"/>
  <c r="CJ26" i="3"/>
  <c r="BZ19" i="3"/>
  <c r="K32" i="3"/>
  <c r="CT18" i="3"/>
  <c r="DG16" i="3"/>
  <c r="DG18" i="3"/>
  <c r="DR16" i="3"/>
  <c r="CY16" i="3"/>
  <c r="CO16" i="3"/>
  <c r="DI18" i="3"/>
  <c r="CY18" i="3"/>
  <c r="DS18" i="3"/>
  <c r="DI19" i="3"/>
  <c r="CY19" i="3"/>
  <c r="DS19" i="3"/>
  <c r="CO19" i="3"/>
  <c r="DI23" i="3"/>
  <c r="CY23" i="3"/>
  <c r="CE23" i="3"/>
  <c r="DS24" i="3"/>
  <c r="DI24" i="3"/>
  <c r="CY24" i="3"/>
  <c r="DS25" i="3"/>
  <c r="DI25" i="3"/>
  <c r="CY25" i="3"/>
  <c r="CO25" i="3"/>
  <c r="DS26" i="3"/>
  <c r="DI26" i="3"/>
  <c r="CY26" i="3"/>
  <c r="CO26" i="3"/>
  <c r="BS16" i="3"/>
  <c r="BS17" i="3"/>
  <c r="BS18" i="3"/>
  <c r="BS32" i="3" s="1"/>
  <c r="BS19" i="3"/>
  <c r="BS23" i="3"/>
  <c r="BS24" i="3"/>
  <c r="BS26" i="3"/>
  <c r="BZ16" i="3"/>
  <c r="CE19" i="3"/>
  <c r="CE33" i="3" s="1"/>
  <c r="CE25" i="3"/>
  <c r="BZ26" i="3"/>
  <c r="CH23" i="3"/>
  <c r="CL17" i="3"/>
  <c r="CO23" i="3"/>
  <c r="CJ24" i="3"/>
  <c r="K21" i="3"/>
  <c r="CW19" i="3"/>
  <c r="DN16" i="3"/>
  <c r="CN16" i="3"/>
  <c r="DH16" i="3"/>
  <c r="CN17" i="3"/>
  <c r="DH18" i="3"/>
  <c r="DH19" i="3"/>
  <c r="AJ24" i="3"/>
  <c r="DH23" i="3" s="1"/>
  <c r="AJ25" i="3"/>
  <c r="DR24" i="3" s="1"/>
  <c r="CD24" i="3"/>
  <c r="AJ26" i="3"/>
  <c r="CX25" i="3" s="1"/>
  <c r="AJ27" i="3"/>
  <c r="DR26" i="3" s="1"/>
  <c r="CN26" i="3"/>
  <c r="CN33" i="3" s="1"/>
  <c r="AF25" i="3"/>
  <c r="DN24" i="3" s="1"/>
  <c r="BR16" i="3"/>
  <c r="BR17" i="3"/>
  <c r="BR19" i="3"/>
  <c r="BR23" i="3"/>
  <c r="BR24" i="3"/>
  <c r="BR25" i="3"/>
  <c r="BR32" i="3" s="1"/>
  <c r="BR26" i="3"/>
  <c r="CE18" i="3"/>
  <c r="CD19" i="3"/>
  <c r="CD33" i="3" s="1"/>
  <c r="CD25" i="3"/>
  <c r="CM19" i="3"/>
  <c r="CM33" i="3" s="1"/>
  <c r="CN23" i="3"/>
  <c r="CN25" i="3"/>
  <c r="CN32" i="3" s="1"/>
  <c r="I35" i="3"/>
  <c r="K31" i="3"/>
  <c r="CW16" i="3"/>
  <c r="CV19" i="3"/>
  <c r="DB25" i="3"/>
  <c r="DG19" i="3"/>
  <c r="DG24" i="3"/>
  <c r="DR19" i="3"/>
  <c r="DQ24" i="3"/>
  <c r="DN18" i="3"/>
  <c r="AD27" i="3"/>
  <c r="CR26" i="3" s="1"/>
  <c r="CH26" i="3"/>
  <c r="AD25" i="3"/>
  <c r="DB24" i="3" s="1"/>
  <c r="AI24" i="3"/>
  <c r="CW23" i="3" s="1"/>
  <c r="CM23" i="3"/>
  <c r="AI26" i="3"/>
  <c r="CW25" i="3" s="1"/>
  <c r="CC25" i="3"/>
  <c r="AI27" i="3"/>
  <c r="DQ26" i="3" s="1"/>
  <c r="AF26" i="3"/>
  <c r="DD25" i="3" s="1"/>
  <c r="CE17" i="3"/>
  <c r="CD18" i="3"/>
  <c r="CC19" i="3"/>
  <c r="BZ23" i="3"/>
  <c r="CJ17" i="3"/>
  <c r="CJ19" i="3"/>
  <c r="CM25" i="3"/>
  <c r="CM32" i="3" s="1"/>
  <c r="CX18" i="3"/>
  <c r="CT19" i="3"/>
  <c r="DL25" i="3"/>
  <c r="AD24" i="3"/>
  <c r="CR23" i="3" s="1"/>
  <c r="DP16" i="3"/>
  <c r="CL18" i="3"/>
  <c r="DP18" i="3"/>
  <c r="DP19" i="3"/>
  <c r="CL19" i="3"/>
  <c r="CL33" i="3" s="1"/>
  <c r="AH24" i="3"/>
  <c r="CB23" i="3"/>
  <c r="AH25" i="3"/>
  <c r="DF24" i="3" s="1"/>
  <c r="CL24" i="3"/>
  <c r="AH26" i="3"/>
  <c r="CV25" i="3" s="1"/>
  <c r="AH27" i="3"/>
  <c r="CV26" i="3" s="1"/>
  <c r="CB26" i="3"/>
  <c r="BP16" i="3"/>
  <c r="BP17" i="3"/>
  <c r="BP18" i="3"/>
  <c r="BP19" i="3"/>
  <c r="BP23" i="3"/>
  <c r="BP24" i="3"/>
  <c r="BP25" i="3"/>
  <c r="BP26" i="3"/>
  <c r="CE16" i="3"/>
  <c r="CD17" i="3"/>
  <c r="CC18" i="3"/>
  <c r="CB19" i="3"/>
  <c r="CO18" i="3"/>
  <c r="CL25" i="3"/>
  <c r="CR25" i="3"/>
  <c r="CT16" i="3"/>
  <c r="CW18" i="3"/>
  <c r="DN17" i="3"/>
  <c r="DN19" i="3"/>
  <c r="K34" i="3"/>
  <c r="CV18" i="3"/>
  <c r="K33" i="3"/>
  <c r="K28" i="3"/>
  <c r="CF23" i="3"/>
  <c r="CF24" i="3"/>
  <c r="CF25" i="3"/>
  <c r="CF26" i="3"/>
  <c r="AL24" i="3"/>
  <c r="CZ23" i="3" s="1"/>
  <c r="AL26" i="3"/>
  <c r="CZ25" i="3" s="1"/>
  <c r="CF16" i="3"/>
  <c r="CF17" i="3"/>
  <c r="CF18" i="3"/>
  <c r="CF19" i="3"/>
  <c r="CP17" i="3"/>
  <c r="AK18" i="3"/>
  <c r="DI17" i="3" s="1"/>
  <c r="AG18" i="3"/>
  <c r="CU17" i="3" s="1"/>
  <c r="AI18" i="3"/>
  <c r="CW17" i="3" s="1"/>
  <c r="AE18" i="3"/>
  <c r="DM17" i="3" s="1"/>
  <c r="AN104" i="3" l="1"/>
  <c r="I94" i="3" s="1"/>
  <c r="E15" i="7" s="1"/>
  <c r="CH31" i="3"/>
  <c r="BU27" i="3"/>
  <c r="AM82" i="3"/>
  <c r="CE31" i="3"/>
  <c r="DP17" i="3"/>
  <c r="DP20" i="3" s="1"/>
  <c r="AK82" i="3"/>
  <c r="BX30" i="3"/>
  <c r="DL18" i="3"/>
  <c r="DL32" i="3" s="1"/>
  <c r="AI82" i="3"/>
  <c r="CW26" i="3"/>
  <c r="CW33" i="3" s="1"/>
  <c r="CB30" i="3"/>
  <c r="CC33" i="3"/>
  <c r="AL82" i="3"/>
  <c r="AH82" i="3"/>
  <c r="CD31" i="3"/>
  <c r="CX17" i="3"/>
  <c r="CX20" i="3" s="1"/>
  <c r="CE32" i="3"/>
  <c r="AN78" i="3"/>
  <c r="I68" i="3" s="1"/>
  <c r="C11" i="7" s="1"/>
  <c r="DH17" i="3"/>
  <c r="AG82" i="3"/>
  <c r="BT27" i="3"/>
  <c r="BX27" i="3"/>
  <c r="AN80" i="3"/>
  <c r="I70" i="3" s="1"/>
  <c r="C13" i="7" s="1"/>
  <c r="K35" i="3"/>
  <c r="AJ82" i="3"/>
  <c r="CX23" i="3"/>
  <c r="CX30" i="3" s="1"/>
  <c r="BT20" i="3"/>
  <c r="AN81" i="3"/>
  <c r="I71" i="3" s="1"/>
  <c r="C14" i="7" s="1"/>
  <c r="AE82" i="3"/>
  <c r="AF82" i="3"/>
  <c r="CI32" i="3"/>
  <c r="AN79" i="3"/>
  <c r="DJ19" i="3"/>
  <c r="CZ19" i="3"/>
  <c r="DC23" i="3"/>
  <c r="DC30" i="3" s="1"/>
  <c r="CU31" i="3"/>
  <c r="DN33" i="3"/>
  <c r="CC32" i="3"/>
  <c r="DI32" i="3"/>
  <c r="DD23" i="3"/>
  <c r="BU34" i="3"/>
  <c r="CW31" i="3"/>
  <c r="DN23" i="3"/>
  <c r="DN30" i="3" s="1"/>
  <c r="BV20" i="3"/>
  <c r="CQ24" i="3"/>
  <c r="CT26" i="3"/>
  <c r="CT33" i="3" s="1"/>
  <c r="CW32" i="3"/>
  <c r="BR33" i="3"/>
  <c r="BX32" i="3"/>
  <c r="BU31" i="3"/>
  <c r="DD26" i="3"/>
  <c r="DD33" i="3" s="1"/>
  <c r="CN31" i="3"/>
  <c r="CN27" i="3"/>
  <c r="BR27" i="3"/>
  <c r="BN32" i="3"/>
  <c r="CG18" i="3"/>
  <c r="CQ23" i="3"/>
  <c r="BS33" i="3"/>
  <c r="CY27" i="3"/>
  <c r="BW23" i="3"/>
  <c r="BY27" i="3"/>
  <c r="CZ26" i="3"/>
  <c r="CZ27" i="3" s="1"/>
  <c r="CX32" i="3"/>
  <c r="DR23" i="3"/>
  <c r="DR30" i="3" s="1"/>
  <c r="BT33" i="3"/>
  <c r="CQ19" i="3"/>
  <c r="CV24" i="3"/>
  <c r="CV17" i="3"/>
  <c r="CV20" i="3" s="1"/>
  <c r="DM31" i="3"/>
  <c r="CT17" i="3"/>
  <c r="CJ31" i="3"/>
  <c r="BX33" i="3"/>
  <c r="DQ33" i="3"/>
  <c r="CF32" i="3"/>
  <c r="CC27" i="3"/>
  <c r="DB18" i="3"/>
  <c r="DK18" i="3" s="1"/>
  <c r="DB19" i="3"/>
  <c r="DF20" i="3"/>
  <c r="CP27" i="3"/>
  <c r="BW26" i="3"/>
  <c r="CF33" i="3"/>
  <c r="DF31" i="3"/>
  <c r="BZ27" i="3"/>
  <c r="CM27" i="3"/>
  <c r="CS26" i="3"/>
  <c r="CS33" i="3" s="1"/>
  <c r="BY31" i="3"/>
  <c r="CA27" i="3"/>
  <c r="DE32" i="3"/>
  <c r="CP33" i="3"/>
  <c r="CC31" i="3"/>
  <c r="CH27" i="3"/>
  <c r="DH25" i="3"/>
  <c r="DH32" i="3" s="1"/>
  <c r="CI31" i="3"/>
  <c r="CK33" i="3"/>
  <c r="CP20" i="3"/>
  <c r="CP34" i="3" s="1"/>
  <c r="CD27" i="3"/>
  <c r="BP27" i="3"/>
  <c r="CL27" i="3"/>
  <c r="DS17" i="3"/>
  <c r="DS31" i="3" s="1"/>
  <c r="CQ26" i="3"/>
  <c r="CQ25" i="3"/>
  <c r="BV33" i="3"/>
  <c r="BX31" i="3"/>
  <c r="CB33" i="3"/>
  <c r="BP33" i="3"/>
  <c r="CJ33" i="3"/>
  <c r="CX24" i="3"/>
  <c r="BR31" i="3"/>
  <c r="DR25" i="3"/>
  <c r="DR32" i="3" s="1"/>
  <c r="BS31" i="3"/>
  <c r="DO33" i="3"/>
  <c r="DM25" i="3"/>
  <c r="DM27" i="3" s="1"/>
  <c r="DO32" i="3"/>
  <c r="CB20" i="3"/>
  <c r="CP32" i="3"/>
  <c r="DN25" i="3"/>
  <c r="DN32" i="3" s="1"/>
  <c r="CX26" i="3"/>
  <c r="CX33" i="3" s="1"/>
  <c r="BP32" i="3"/>
  <c r="CB27" i="3"/>
  <c r="DL23" i="3"/>
  <c r="DS33" i="3"/>
  <c r="BY33" i="3"/>
  <c r="DL17" i="3"/>
  <c r="BP31" i="3"/>
  <c r="CT24" i="3"/>
  <c r="BW16" i="3"/>
  <c r="DR33" i="3"/>
  <c r="DH26" i="3"/>
  <c r="DH33" i="3" s="1"/>
  <c r="DH24" i="3"/>
  <c r="DH31" i="3" s="1"/>
  <c r="DI33" i="3"/>
  <c r="DG25" i="3"/>
  <c r="DG32" i="3" s="1"/>
  <c r="DO27" i="3"/>
  <c r="DE17" i="3"/>
  <c r="DE31" i="3" s="1"/>
  <c r="DJ26" i="3"/>
  <c r="BV30" i="3"/>
  <c r="DF26" i="3"/>
  <c r="DF33" i="3" s="1"/>
  <c r="DR31" i="3"/>
  <c r="BQ33" i="3"/>
  <c r="BW25" i="3"/>
  <c r="CQ18" i="3"/>
  <c r="BW24" i="3"/>
  <c r="DO17" i="3"/>
  <c r="DO31" i="3" s="1"/>
  <c r="DL24" i="3"/>
  <c r="CL20" i="3"/>
  <c r="BZ32" i="3"/>
  <c r="DT23" i="3"/>
  <c r="DT30" i="3" s="1"/>
  <c r="DB31" i="3"/>
  <c r="DK16" i="3"/>
  <c r="DI31" i="3"/>
  <c r="DI20" i="3"/>
  <c r="CR33" i="3"/>
  <c r="DD32" i="3"/>
  <c r="CH32" i="3"/>
  <c r="CE30" i="3"/>
  <c r="CE20" i="3"/>
  <c r="DE30" i="3"/>
  <c r="DJ24" i="3"/>
  <c r="CZ32" i="3"/>
  <c r="CH30" i="3"/>
  <c r="CG23" i="3"/>
  <c r="BW19" i="3"/>
  <c r="CP30" i="3"/>
  <c r="CV32" i="3"/>
  <c r="CT30" i="3"/>
  <c r="DB26" i="3"/>
  <c r="DG26" i="3"/>
  <c r="DG33" i="3" s="1"/>
  <c r="CW20" i="3"/>
  <c r="CW30" i="3"/>
  <c r="BR30" i="3"/>
  <c r="BR20" i="3"/>
  <c r="CO33" i="3"/>
  <c r="CY17" i="3"/>
  <c r="CY31" i="3" s="1"/>
  <c r="DG23" i="3"/>
  <c r="DD24" i="3"/>
  <c r="CJ20" i="3"/>
  <c r="CJ30" i="3"/>
  <c r="CM20" i="3"/>
  <c r="DC26" i="3"/>
  <c r="DC33" i="3" s="1"/>
  <c r="CI27" i="3"/>
  <c r="CU33" i="3"/>
  <c r="DO30" i="3"/>
  <c r="DL26" i="3"/>
  <c r="DP26" i="3"/>
  <c r="DP33" i="3" s="1"/>
  <c r="DT24" i="3"/>
  <c r="DT31" i="3" s="1"/>
  <c r="DT20" i="3"/>
  <c r="CR16" i="3"/>
  <c r="CV23" i="3"/>
  <c r="DF23" i="3"/>
  <c r="DP23" i="3"/>
  <c r="DP30" i="3" s="1"/>
  <c r="DR20" i="3"/>
  <c r="CU30" i="3"/>
  <c r="CU20" i="3"/>
  <c r="DL16" i="3"/>
  <c r="CV33" i="3"/>
  <c r="CQ16" i="3"/>
  <c r="CR24" i="3"/>
  <c r="DQ17" i="3"/>
  <c r="BS30" i="3"/>
  <c r="BS20" i="3"/>
  <c r="DD30" i="3"/>
  <c r="DD20" i="3"/>
  <c r="CM30" i="3"/>
  <c r="DE33" i="3"/>
  <c r="DP24" i="3"/>
  <c r="CC20" i="3"/>
  <c r="CI33" i="3"/>
  <c r="DU18" i="3"/>
  <c r="DJ25" i="3"/>
  <c r="DJ32" i="3" s="1"/>
  <c r="CZ30" i="3"/>
  <c r="DN20" i="3"/>
  <c r="BP30" i="3"/>
  <c r="BP20" i="3"/>
  <c r="BZ33" i="3"/>
  <c r="BY30" i="3"/>
  <c r="BY20" i="3"/>
  <c r="DF25" i="3"/>
  <c r="DF32" i="3" s="1"/>
  <c r="DP25" i="3"/>
  <c r="CL32" i="3"/>
  <c r="BZ30" i="3"/>
  <c r="BZ20" i="3"/>
  <c r="CY33" i="3"/>
  <c r="CO30" i="3"/>
  <c r="CO20" i="3"/>
  <c r="CJ27" i="3"/>
  <c r="CI30" i="3"/>
  <c r="CI20" i="3"/>
  <c r="BQ27" i="3"/>
  <c r="BO20" i="3"/>
  <c r="BO30" i="3"/>
  <c r="CA32" i="3"/>
  <c r="CR32" i="3"/>
  <c r="DA18" i="3"/>
  <c r="DT25" i="3"/>
  <c r="DT32" i="3" s="1"/>
  <c r="BV31" i="3"/>
  <c r="CR17" i="3"/>
  <c r="DG17" i="3"/>
  <c r="DG31" i="3" s="1"/>
  <c r="CY30" i="3"/>
  <c r="BO27" i="3"/>
  <c r="CS17" i="3"/>
  <c r="CS20" i="3" s="1"/>
  <c r="CK27" i="3"/>
  <c r="BO32" i="3"/>
  <c r="CK32" i="3"/>
  <c r="CK31" i="3"/>
  <c r="BV27" i="3"/>
  <c r="DT33" i="3"/>
  <c r="DJ17" i="3"/>
  <c r="CS24" i="3"/>
  <c r="DL19" i="3"/>
  <c r="DI30" i="3"/>
  <c r="DI27" i="3"/>
  <c r="CG26" i="3"/>
  <c r="CO32" i="3"/>
  <c r="CG19" i="3"/>
  <c r="BW18" i="3"/>
  <c r="CG25" i="3"/>
  <c r="DN31" i="3"/>
  <c r="DH30" i="3"/>
  <c r="DH20" i="3"/>
  <c r="CO27" i="3"/>
  <c r="DS27" i="3"/>
  <c r="DS32" i="3"/>
  <c r="DQ25" i="3"/>
  <c r="DQ32" i="3" s="1"/>
  <c r="CS23" i="3"/>
  <c r="DC17" i="3"/>
  <c r="DC20" i="3" s="1"/>
  <c r="CU27" i="3"/>
  <c r="CK20" i="3"/>
  <c r="CK30" i="3"/>
  <c r="DC25" i="3"/>
  <c r="DM33" i="3"/>
  <c r="BQ32" i="3"/>
  <c r="CD20" i="3"/>
  <c r="BQ31" i="3"/>
  <c r="DJ23" i="3"/>
  <c r="CZ17" i="3"/>
  <c r="CZ31" i="3" s="1"/>
  <c r="DC24" i="3"/>
  <c r="CH20" i="3"/>
  <c r="CH33" i="3"/>
  <c r="CA20" i="3"/>
  <c r="BW17" i="3"/>
  <c r="BN20" i="3"/>
  <c r="BN34" i="3" s="1"/>
  <c r="CG24" i="3"/>
  <c r="DB23" i="3"/>
  <c r="CD32" i="3"/>
  <c r="CT25" i="3"/>
  <c r="CT32" i="3" s="1"/>
  <c r="CN20" i="3"/>
  <c r="CN34" i="3" s="1"/>
  <c r="CN30" i="3"/>
  <c r="CL31" i="3"/>
  <c r="BS27" i="3"/>
  <c r="CE27" i="3"/>
  <c r="CY32" i="3"/>
  <c r="DQ23" i="3"/>
  <c r="DE27" i="3"/>
  <c r="BQ30" i="3"/>
  <c r="BQ20" i="3"/>
  <c r="CS32" i="3"/>
  <c r="DM20" i="3"/>
  <c r="DM30" i="3"/>
  <c r="CU32" i="3"/>
  <c r="BY32" i="3"/>
  <c r="BV32" i="3"/>
  <c r="BX20" i="3"/>
  <c r="CA30" i="3"/>
  <c r="CF31" i="3"/>
  <c r="CG17" i="3"/>
  <c r="CP31" i="3"/>
  <c r="CQ17" i="3"/>
  <c r="CF30" i="3"/>
  <c r="CG16" i="3"/>
  <c r="CF20" i="3"/>
  <c r="CF27" i="3"/>
  <c r="DD27" i="3" l="1"/>
  <c r="DK19" i="3"/>
  <c r="CW27" i="3"/>
  <c r="BZ34" i="3"/>
  <c r="DP31" i="3"/>
  <c r="DJ33" i="3"/>
  <c r="CT31" i="3"/>
  <c r="BT34" i="3"/>
  <c r="CT20" i="3"/>
  <c r="BW31" i="3"/>
  <c r="DM32" i="3"/>
  <c r="CA34" i="3"/>
  <c r="CX31" i="3"/>
  <c r="CG32" i="3"/>
  <c r="AN82" i="3"/>
  <c r="I72" i="3" s="1"/>
  <c r="C15" i="7" s="1"/>
  <c r="I69" i="3"/>
  <c r="C12" i="7" s="1"/>
  <c r="BR34" i="3"/>
  <c r="CZ33" i="3"/>
  <c r="BW30" i="3"/>
  <c r="DA19" i="3"/>
  <c r="CG31" i="3"/>
  <c r="BY34" i="3"/>
  <c r="BW27" i="3"/>
  <c r="CV31" i="3"/>
  <c r="CQ32" i="3"/>
  <c r="DO20" i="3"/>
  <c r="DO34" i="3" s="1"/>
  <c r="CB34" i="3"/>
  <c r="CQ33" i="3"/>
  <c r="DL27" i="3"/>
  <c r="DN27" i="3"/>
  <c r="DN34" i="3" s="1"/>
  <c r="CH34" i="3"/>
  <c r="CG33" i="3"/>
  <c r="BV34" i="3"/>
  <c r="DK25" i="3"/>
  <c r="DK32" i="3" s="1"/>
  <c r="CI34" i="3"/>
  <c r="CL34" i="3"/>
  <c r="BO34" i="3"/>
  <c r="DL31" i="3"/>
  <c r="DM34" i="3"/>
  <c r="CK34" i="3"/>
  <c r="CM34" i="3"/>
  <c r="CY20" i="3"/>
  <c r="CY34" i="3" s="1"/>
  <c r="CC34" i="3"/>
  <c r="BW32" i="3"/>
  <c r="DB20" i="3"/>
  <c r="DB32" i="3"/>
  <c r="BQ34" i="3"/>
  <c r="CD34" i="3"/>
  <c r="CG20" i="3"/>
  <c r="DT27" i="3"/>
  <c r="DT34" i="3" s="1"/>
  <c r="BW33" i="3"/>
  <c r="BX34" i="3"/>
  <c r="DG27" i="3"/>
  <c r="CG27" i="3"/>
  <c r="DH27" i="3"/>
  <c r="DH34" i="3" s="1"/>
  <c r="DK24" i="3"/>
  <c r="DE20" i="3"/>
  <c r="DE34" i="3" s="1"/>
  <c r="DJ31" i="3"/>
  <c r="DU17" i="3"/>
  <c r="CU34" i="3"/>
  <c r="CE34" i="3"/>
  <c r="DK17" i="3"/>
  <c r="DK20" i="3" s="1"/>
  <c r="BP34" i="3"/>
  <c r="DA26" i="3"/>
  <c r="CG30" i="3"/>
  <c r="CX27" i="3"/>
  <c r="CX34" i="3" s="1"/>
  <c r="DS20" i="3"/>
  <c r="DS34" i="3" s="1"/>
  <c r="CT27" i="3"/>
  <c r="DU25" i="3"/>
  <c r="DU32" i="3" s="1"/>
  <c r="BS34" i="3"/>
  <c r="CQ27" i="3"/>
  <c r="DK26" i="3"/>
  <c r="DK33" i="3" s="1"/>
  <c r="DR27" i="3"/>
  <c r="DR34" i="3" s="1"/>
  <c r="DP32" i="3"/>
  <c r="DF27" i="3"/>
  <c r="DF34" i="3" s="1"/>
  <c r="DF30" i="3"/>
  <c r="DD31" i="3"/>
  <c r="DU24" i="3"/>
  <c r="DB33" i="3"/>
  <c r="DA25" i="3"/>
  <c r="DA32" i="3" s="1"/>
  <c r="CV27" i="3"/>
  <c r="CV34" i="3" s="1"/>
  <c r="CV30" i="3"/>
  <c r="CW34" i="3"/>
  <c r="DI34" i="3"/>
  <c r="DA24" i="3"/>
  <c r="DD34" i="3"/>
  <c r="DJ27" i="3"/>
  <c r="DQ27" i="3"/>
  <c r="DQ30" i="3"/>
  <c r="DU23" i="3"/>
  <c r="DC32" i="3"/>
  <c r="CR30" i="3"/>
  <c r="CR20" i="3"/>
  <c r="DA16" i="3"/>
  <c r="DL33" i="3"/>
  <c r="DU19" i="3"/>
  <c r="DC27" i="3"/>
  <c r="DC34" i="3" s="1"/>
  <c r="CQ20" i="3"/>
  <c r="CQ30" i="3"/>
  <c r="DB27" i="3"/>
  <c r="DK23" i="3"/>
  <c r="DK30" i="3" s="1"/>
  <c r="DC31" i="3"/>
  <c r="CR31" i="3"/>
  <c r="DA17" i="3"/>
  <c r="DG20" i="3"/>
  <c r="CZ20" i="3"/>
  <c r="CZ34" i="3" s="1"/>
  <c r="DB30" i="3"/>
  <c r="CS27" i="3"/>
  <c r="CS34" i="3" s="1"/>
  <c r="DJ30" i="3"/>
  <c r="DG30" i="3"/>
  <c r="CS30" i="3"/>
  <c r="CR27" i="3"/>
  <c r="BW20" i="3"/>
  <c r="CF34" i="3"/>
  <c r="CS31" i="3"/>
  <c r="DJ20" i="3"/>
  <c r="CO34" i="3"/>
  <c r="DQ31" i="3"/>
  <c r="DQ20" i="3"/>
  <c r="DL30" i="3"/>
  <c r="DL20" i="3"/>
  <c r="DU16" i="3"/>
  <c r="DP27" i="3"/>
  <c r="DP34" i="3" s="1"/>
  <c r="DU26" i="3"/>
  <c r="CJ34" i="3"/>
  <c r="DA23" i="3"/>
  <c r="CQ31" i="3"/>
  <c r="CT34" i="3" l="1"/>
  <c r="BW34" i="3"/>
  <c r="DL34" i="3"/>
  <c r="DA33" i="3"/>
  <c r="CG34" i="3"/>
  <c r="DK31" i="3"/>
  <c r="DA30" i="3"/>
  <c r="DB34" i="3"/>
  <c r="DK27" i="3"/>
  <c r="DK34" i="3" s="1"/>
  <c r="DG34" i="3"/>
  <c r="CQ34" i="3"/>
  <c r="DU31" i="3"/>
  <c r="DU27" i="3"/>
  <c r="DQ34" i="3"/>
  <c r="DJ34" i="3"/>
  <c r="DA31" i="3"/>
  <c r="DU33" i="3"/>
  <c r="DU20" i="3"/>
  <c r="DU30" i="3"/>
  <c r="DA27" i="3"/>
  <c r="CR34" i="3"/>
  <c r="DA20" i="3"/>
  <c r="DU34" i="3" l="1"/>
  <c r="DA34" i="3"/>
</calcChain>
</file>

<file path=xl/sharedStrings.xml><?xml version="1.0" encoding="utf-8"?>
<sst xmlns="http://schemas.openxmlformats.org/spreadsheetml/2006/main" count="1464" uniqueCount="198">
  <si>
    <t>Počet příjemců příspěvku na péči za sledovaný měsíc nároku</t>
  </si>
  <si>
    <t>Měsíc nároku</t>
  </si>
  <si>
    <t>Muži</t>
  </si>
  <si>
    <t>Ženy</t>
  </si>
  <si>
    <t>I. stupeň závislosti</t>
  </si>
  <si>
    <t>II. stupeň závislosti</t>
  </si>
  <si>
    <t>III. stupeň závislosti</t>
  </si>
  <si>
    <t>IV. stupeň závislosti</t>
  </si>
  <si>
    <t>0-17</t>
  </si>
  <si>
    <t>18-59</t>
  </si>
  <si>
    <t>60-64</t>
  </si>
  <si>
    <t>65-69</t>
  </si>
  <si>
    <t>70-74</t>
  </si>
  <si>
    <t>75-79</t>
  </si>
  <si>
    <t>80-84</t>
  </si>
  <si>
    <t>85-89</t>
  </si>
  <si>
    <t>90+</t>
  </si>
  <si>
    <t>12 / 2011</t>
  </si>
  <si>
    <t>12 / 2017</t>
  </si>
  <si>
    <t>TRVALÁ ADRESA ŽADATELE = PARDUBICKÝ KRAJ</t>
  </si>
  <si>
    <t>TRVALÁ ADRESA ŽADATELE = ÚZEMÍ SPRÁVNÍHO OBVODU ORP UHERSKÝ BROD</t>
  </si>
  <si>
    <t>TRVALÁ ADRESA ŽADATELE = ÚZEMÍ SPRÁVNÍHO OBVODU ORP HAVÍŘOV</t>
  </si>
  <si>
    <t>I.</t>
  </si>
  <si>
    <t>II.</t>
  </si>
  <si>
    <t>III.</t>
  </si>
  <si>
    <t>IV.</t>
  </si>
  <si>
    <t>muži 12/2011</t>
  </si>
  <si>
    <t>ženy 12/2011</t>
  </si>
  <si>
    <t>muži 12/2017</t>
  </si>
  <si>
    <t>ženy</t>
  </si>
  <si>
    <t xml:space="preserve">  1 -   4</t>
  </si>
  <si>
    <t xml:space="preserve">  5 -   9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</si>
  <si>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</si>
  <si>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</si>
  <si>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</si>
  <si>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</si>
  <si>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</si>
  <si>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</si>
  <si>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</si>
  <si>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</si>
  <si>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</si>
  <si>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</si>
  <si>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</si>
  <si>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</si>
  <si>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</si>
  <si>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</si>
  <si>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</si>
  <si>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90 - 94</t>
  </si>
  <si>
    <t>95 +</t>
  </si>
  <si>
    <t xml:space="preserve">  0</t>
  </si>
  <si>
    <t>10 - 14</t>
  </si>
  <si>
    <t>M 2011</t>
  </si>
  <si>
    <t>M 2017</t>
  </si>
  <si>
    <t>Ž 2011</t>
  </si>
  <si>
    <t>Ž 2017</t>
  </si>
  <si>
    <t>příspěvek na péči  - počet</t>
  </si>
  <si>
    <t>počet obyvatel</t>
  </si>
  <si>
    <t>ženy 12/2017</t>
  </si>
  <si>
    <t>podíl příjemců příspěvku na péči na počtu obyvatel</t>
  </si>
  <si>
    <t>změny ve vývoji podílu příjemců příspěvku na péči na celkové počtu osob mezi lety 2011 a 2017</t>
  </si>
  <si>
    <t>počet obyvatel - projekce</t>
  </si>
  <si>
    <t>C</t>
  </si>
  <si>
    <t>celkem 12/2017</t>
  </si>
  <si>
    <t>scénář dynamický -  projekce vývoje počtu příjemců příspěvku na péči</t>
  </si>
  <si>
    <t>scénář statický - projekce vývoje počtu příjemců příspěvku na péči</t>
  </si>
  <si>
    <t>počet obyvatel celkem</t>
  </si>
  <si>
    <t>M</t>
  </si>
  <si>
    <t>Ž</t>
  </si>
  <si>
    <t>muži</t>
  </si>
  <si>
    <t>věková struktura 31.12.2017</t>
  </si>
  <si>
    <t>věková struktura 31.12.2020</t>
  </si>
  <si>
    <t>věková struktura 31.12.2025</t>
  </si>
  <si>
    <t xml:space="preserve"> </t>
  </si>
  <si>
    <t>celkem</t>
  </si>
  <si>
    <t>statický</t>
  </si>
  <si>
    <t>věková struktura 31.12.2030</t>
  </si>
  <si>
    <t>počet příjemců příspěvku na péči 2020 - statický</t>
  </si>
  <si>
    <t>počet příjemců příspěvku na péči 2025 - statický</t>
  </si>
  <si>
    <t>počet příjemců příspěvku na péči 2030 - statický</t>
  </si>
  <si>
    <t>počet příjemců příspěvku na péči 2020 - danamický</t>
  </si>
  <si>
    <t>počet příjemců příspěvku na péči 2025 - dynamický</t>
  </si>
  <si>
    <t>dynamický</t>
  </si>
  <si>
    <t>počet příjemců příspěvku na péči 2030 - dynamický</t>
  </si>
  <si>
    <t xml:space="preserve">Jev </t>
  </si>
  <si>
    <t xml:space="preserve">Celkový počet výskytu ČR </t>
  </si>
  <si>
    <t xml:space="preserve">Výskyt na 1.000 obyvatel/případů/jevů z relevantní populace </t>
  </si>
  <si>
    <t>Pardubický kraj</t>
  </si>
  <si>
    <t>Obezita</t>
  </si>
  <si>
    <t>Diabetes melitus</t>
  </si>
  <si>
    <t>Z toho ve věku 65+</t>
  </si>
  <si>
    <t> 1060000</t>
  </si>
  <si>
    <t>Alzheimerova choroba a kognitivní poruchy</t>
  </si>
  <si>
    <t xml:space="preserve">Z toho ve věku 85 + </t>
  </si>
  <si>
    <t>Narození s vrozenou vadou (na živě narozené)</t>
  </si>
  <si>
    <t xml:space="preserve">Děti vyžadující soc. právní ochranu     </t>
  </si>
  <si>
    <t>Rodinný stav (15+)</t>
  </si>
  <si>
    <t>singles (32 %)</t>
  </si>
  <si>
    <t>sezdaných (47%)</t>
  </si>
  <si>
    <t>Rozvedených (13 %)</t>
  </si>
  <si>
    <t>ovdovělých (8 %)</t>
  </si>
  <si>
    <t>Rozvody/rok u manželů 18+ (2016)</t>
  </si>
  <si>
    <t>1194 (2,3 na 1000)</t>
  </si>
  <si>
    <t>Děti rozvádějících se rodičů</t>
  </si>
  <si>
    <t>1900 (kvalif. odhad)</t>
  </si>
  <si>
    <t>Děti ohrožené syndromem CAN (odhad 1,5% populace 0-14)</t>
  </si>
  <si>
    <t>Z toho počet týraných a sexuálně zneužívaných dětí (odhad)</t>
  </si>
  <si>
    <t>se zjištěným syndromem CAN</t>
  </si>
  <si>
    <t>z toho vyžadujících psychologickou službu</t>
  </si>
  <si>
    <t>Dospělí bez základního vzdělání</t>
  </si>
  <si>
    <t>Rozvody</t>
  </si>
  <si>
    <t>Domácí násilí – vykázání z domácnosti</t>
  </si>
  <si>
    <t>Závislost na drogách</t>
  </si>
  <si>
    <t>Kouření - tabák</t>
  </si>
  <si>
    <t> 147943</t>
  </si>
  <si>
    <t>Nadužívání alkoholu</t>
  </si>
  <si>
    <t>Gambling – léčení</t>
  </si>
  <si>
    <t>Bezdomovectví - ztráta bydlení</t>
  </si>
  <si>
    <t>z toho zjevné bezdomovectví (2009) - trvalý pobyt</t>
  </si>
  <si>
    <t>z toho zjevné bezdomovectví (2009) - místo sečtení</t>
  </si>
  <si>
    <t>Kriminalita – ohlášené trestné činy</t>
  </si>
  <si>
    <t> 1090</t>
  </si>
  <si>
    <t>Prostituce (kvalifikovaný odhad)</t>
  </si>
  <si>
    <t> 93</t>
  </si>
  <si>
    <t>Chudoba příjmová před transfery</t>
  </si>
  <si>
    <t xml:space="preserve">Materiální deprivace </t>
  </si>
  <si>
    <t>Cizinci - legální pobyt (2017)</t>
  </si>
  <si>
    <t>(7 315 v okrese PCE)</t>
  </si>
  <si>
    <t xml:space="preserve">z toho v Praze </t>
  </si>
  <si>
    <t> 260000</t>
  </si>
  <si>
    <t>x</t>
  </si>
  <si>
    <t> x</t>
  </si>
  <si>
    <t>Osoby se zdravotním postižením</t>
  </si>
  <si>
    <t>Z toho:</t>
  </si>
  <si>
    <t>Tělesné postižení</t>
  </si>
  <si>
    <t>Mentální postižení</t>
  </si>
  <si>
    <t>Zrakové postižení</t>
  </si>
  <si>
    <t>Sluchové postižení</t>
  </si>
  <si>
    <t>Vnitřní postižení</t>
  </si>
  <si>
    <t>Duševní onemocnění</t>
  </si>
  <si>
    <t>Zdravotně postižené dítě do 7 let</t>
  </si>
  <si>
    <t xml:space="preserve">Zdravotně postižené dítě do 14 let </t>
  </si>
  <si>
    <t>Jiné</t>
  </si>
  <si>
    <t> 5,08</t>
  </si>
  <si>
    <t> 2638</t>
  </si>
  <si>
    <r>
      <t xml:space="preserve">19200 </t>
    </r>
    <r>
      <rPr>
        <i/>
        <sz val="8"/>
        <color rgb="FF000000"/>
        <rFont val="Verdana"/>
        <family val="2"/>
        <charset val="238"/>
      </rPr>
      <t>(populace 0-18)</t>
    </r>
  </si>
  <si>
    <t>obezita</t>
  </si>
  <si>
    <t>170/1000 C</t>
  </si>
  <si>
    <t>diabetes melitus</t>
  </si>
  <si>
    <t>100/1000 65 +</t>
  </si>
  <si>
    <t>65+</t>
  </si>
  <si>
    <t>65 +</t>
  </si>
  <si>
    <t>Alzheimerova choroba</t>
  </si>
  <si>
    <t>15/1000 C</t>
  </si>
  <si>
    <t>z toho ve věku 65 +</t>
  </si>
  <si>
    <t>74/1000 65 +</t>
  </si>
  <si>
    <t>z toho ve věku 85 +</t>
  </si>
  <si>
    <t>85+</t>
  </si>
  <si>
    <t>300/1000 85+</t>
  </si>
  <si>
    <t>závislost na drogách</t>
  </si>
  <si>
    <t>7/1000 C</t>
  </si>
  <si>
    <t>kouření</t>
  </si>
  <si>
    <t>285/1000 C</t>
  </si>
  <si>
    <t>nadužívání alkoholu</t>
  </si>
  <si>
    <t>50/1000 C</t>
  </si>
  <si>
    <t>bezdomovectví</t>
  </si>
  <si>
    <t>11/1000 C</t>
  </si>
  <si>
    <t>z toho zjevné</t>
  </si>
  <si>
    <t>1,08/1000 C</t>
  </si>
  <si>
    <t>ohlášené trestné činy</t>
  </si>
  <si>
    <t>21/1000 C</t>
  </si>
  <si>
    <t>příjmová chudoba</t>
  </si>
  <si>
    <t>91/1000 C</t>
  </si>
  <si>
    <t>57/1000 C</t>
  </si>
  <si>
    <t>osoby se zdrav.prost.</t>
  </si>
  <si>
    <t>z toho:</t>
  </si>
  <si>
    <t>tělesně postižení</t>
  </si>
  <si>
    <t>101,45/1000 C</t>
  </si>
  <si>
    <t>47,06/1000C</t>
  </si>
  <si>
    <t>mentální postižení</t>
  </si>
  <si>
    <t>9,84/1000 C</t>
  </si>
  <si>
    <t>zrakově postižení</t>
  </si>
  <si>
    <t>9,6/1000 C</t>
  </si>
  <si>
    <t>sluchově postižení</t>
  </si>
  <si>
    <t>8,14/1000 C</t>
  </si>
  <si>
    <t xml:space="preserve">vnitřní postižení </t>
  </si>
  <si>
    <t>67,48/1000 C</t>
  </si>
  <si>
    <t>duševní onemocnění</t>
  </si>
  <si>
    <t>13,65/1000 C</t>
  </si>
  <si>
    <t>103,53/1000 C</t>
  </si>
  <si>
    <t>materiální deprivace</t>
  </si>
  <si>
    <t>počet příjemců příspěvku na péči v r. 2020</t>
  </si>
  <si>
    <t>počet příjemců příspěvku na péči v r. 2025</t>
  </si>
  <si>
    <t>počet příjemců příspěvku na péči v r. 2030</t>
  </si>
  <si>
    <t>v roce 2020</t>
  </si>
  <si>
    <t>v roce 2025</t>
  </si>
  <si>
    <t>v roce 2030</t>
  </si>
  <si>
    <t>Počet příjemců příspěvku na péči</t>
  </si>
  <si>
    <t>Kalkulačka výskytu vybraných sociálních jevů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</si>
</sst>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#,##0_ ;\-#,##0\ "/>
    <numFmt numFmtId="165" formatCode="0.000000"/>
    <numFmt numFmtId="166" formatCode="0.00000"/>
  </numFmts>
  <fonts count="24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000000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i/>
      <sz val="8"/>
      <color rgb="FF000000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8"/>
      <color rgb="FFFF0000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37F82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7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/>
    </xf>
    <xf numFmtId="0" fontId="9" fillId="0" borderId="0" xfId="2" quotePrefix="1" applyNumberFormat="1" applyFont="1" applyFill="1" applyBorder="1" applyAlignment="1">
      <alignment horizontal="left" indent="2"/>
    </xf>
    <xf numFmtId="16" fontId="9" fillId="0" borderId="5" xfId="2" applyNumberFormat="1" applyFont="1" applyFill="1" applyBorder="1" applyAlignment="1">
      <alignment horizontal="left"/>
    </xf>
    <xf numFmtId="17" fontId="9" fillId="0" borderId="5" xfId="2" quotePrefix="1" applyNumberFormat="1" applyFont="1" applyFill="1" applyBorder="1" applyAlignment="1">
      <alignment horizontal="left"/>
    </xf>
    <xf numFmtId="0" fontId="9" fillId="0" borderId="5" xfId="2" applyFont="1" applyFill="1" applyBorder="1" applyAlignment="1">
      <alignment horizontal="left"/>
    </xf>
    <xf numFmtId="164" fontId="9" fillId="0" borderId="3" xfId="2" applyNumberFormat="1" applyFont="1" applyFill="1" applyBorder="1" applyAlignment="1">
      <alignment horizontal="right"/>
    </xf>
    <xf numFmtId="164" fontId="9" fillId="0" borderId="3" xfId="2" applyNumberFormat="1" applyFont="1" applyFill="1" applyBorder="1" applyAlignment="1">
      <alignment horizontal="right"/>
    </xf>
    <xf numFmtId="164" fontId="9" fillId="0" borderId="3" xfId="2" applyNumberFormat="1" applyFont="1" applyFill="1" applyBorder="1" applyAlignment="1">
      <alignment horizontal="right"/>
    </xf>
    <xf numFmtId="164" fontId="9" fillId="0" borderId="3" xfId="2" applyNumberFormat="1" applyFont="1" applyFill="1" applyBorder="1" applyAlignment="1">
      <alignment horizontal="right"/>
    </xf>
    <xf numFmtId="1" fontId="0" fillId="0" borderId="0" xfId="0" applyNumberFormat="1"/>
    <xf numFmtId="3" fontId="8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0" xfId="0" applyNumberFormat="1"/>
    <xf numFmtId="166" fontId="0" fillId="0" borderId="12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11" fillId="0" borderId="0" xfId="0" applyNumberFormat="1" applyFont="1"/>
    <xf numFmtId="0" fontId="0" fillId="0" borderId="0" xfId="0" applyAlignment="1">
      <alignment horizontal="center"/>
    </xf>
    <xf numFmtId="0" fontId="12" fillId="0" borderId="1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2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3" fontId="12" fillId="0" borderId="16" xfId="0" applyNumberFormat="1" applyFont="1" applyBorder="1" applyAlignment="1">
      <alignment horizontal="right" vertical="center" wrapText="1"/>
    </xf>
    <xf numFmtId="3" fontId="14" fillId="0" borderId="16" xfId="0" applyNumberFormat="1" applyFont="1" applyBorder="1" applyAlignment="1">
      <alignment horizontal="right" vertical="center" wrapText="1"/>
    </xf>
    <xf numFmtId="3" fontId="14" fillId="0" borderId="16" xfId="0" applyNumberFormat="1" applyFont="1" applyBorder="1" applyAlignment="1">
      <alignment horizontal="right" vertical="center"/>
    </xf>
    <xf numFmtId="3" fontId="12" fillId="0" borderId="16" xfId="0" applyNumberFormat="1" applyFont="1" applyBorder="1" applyAlignment="1">
      <alignment vertical="center" wrapText="1"/>
    </xf>
    <xf numFmtId="3" fontId="14" fillId="0" borderId="16" xfId="0" applyNumberFormat="1" applyFont="1" applyBorder="1" applyAlignment="1">
      <alignment vertical="center" wrapText="1"/>
    </xf>
    <xf numFmtId="3" fontId="16" fillId="0" borderId="16" xfId="0" applyNumberFormat="1" applyFont="1" applyBorder="1" applyAlignment="1">
      <alignment horizontal="right" vertical="center" wrapText="1"/>
    </xf>
    <xf numFmtId="3" fontId="12" fillId="0" borderId="16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 wrapText="1"/>
    </xf>
    <xf numFmtId="3" fontId="14" fillId="0" borderId="16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0" fillId="3" borderId="0" xfId="0" applyNumberFormat="1" applyFill="1" applyAlignment="1">
      <alignment horizontal="center"/>
    </xf>
    <xf numFmtId="2" fontId="0" fillId="0" borderId="0" xfId="0" applyNumberFormat="1"/>
    <xf numFmtId="3" fontId="0" fillId="4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12" fillId="3" borderId="18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5" borderId="0" xfId="0" applyFill="1"/>
    <xf numFmtId="3" fontId="0" fillId="5" borderId="0" xfId="0" applyNumberFormat="1" applyFill="1"/>
    <xf numFmtId="3" fontId="11" fillId="5" borderId="0" xfId="0" applyNumberFormat="1" applyFont="1" applyFill="1" applyAlignment="1">
      <alignment horizontal="center"/>
    </xf>
    <xf numFmtId="3" fontId="0" fillId="5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14" fontId="0" fillId="5" borderId="0" xfId="0" applyNumberFormat="1" applyFill="1"/>
    <xf numFmtId="3" fontId="0" fillId="6" borderId="0" xfId="0" applyNumberFormat="1" applyFill="1"/>
    <xf numFmtId="0" fontId="0" fillId="12" borderId="48" xfId="0" applyFill="1" applyBorder="1" applyProtection="1">
      <protection hidden="1"/>
    </xf>
    <xf numFmtId="0" fontId="0" fillId="12" borderId="49" xfId="0" applyFill="1" applyBorder="1" applyProtection="1">
      <protection hidden="1"/>
    </xf>
    <xf numFmtId="0" fontId="0" fillId="12" borderId="50" xfId="0" applyFill="1" applyBorder="1" applyProtection="1">
      <protection hidden="1"/>
    </xf>
    <xf numFmtId="0" fontId="0" fillId="0" borderId="0" xfId="0" applyProtection="1">
      <protection hidden="1"/>
    </xf>
    <xf numFmtId="0" fontId="0" fillId="12" borderId="51" xfId="0" applyFill="1" applyBorder="1" applyProtection="1">
      <protection hidden="1"/>
    </xf>
    <xf numFmtId="0" fontId="0" fillId="12" borderId="5" xfId="0" applyFill="1" applyBorder="1" applyProtection="1">
      <protection hidden="1"/>
    </xf>
    <xf numFmtId="0" fontId="0" fillId="12" borderId="0" xfId="0" applyFill="1" applyBorder="1" applyProtection="1">
      <protection hidden="1"/>
    </xf>
    <xf numFmtId="14" fontId="19" fillId="5" borderId="30" xfId="0" applyNumberFormat="1" applyFont="1" applyFill="1" applyBorder="1" applyProtection="1">
      <protection hidden="1"/>
    </xf>
    <xf numFmtId="14" fontId="19" fillId="12" borderId="0" xfId="0" applyNumberFormat="1" applyFont="1" applyFill="1" applyBorder="1" applyProtection="1">
      <protection hidden="1"/>
    </xf>
    <xf numFmtId="3" fontId="20" fillId="12" borderId="0" xfId="0" applyNumberFormat="1" applyFont="1" applyFill="1" applyBorder="1" applyAlignment="1" applyProtection="1">
      <alignment horizontal="center" vertical="center"/>
      <protection hidden="1"/>
    </xf>
    <xf numFmtId="0" fontId="8" fillId="3" borderId="33" xfId="0" applyFont="1" applyFill="1" applyBorder="1" applyAlignment="1" applyProtection="1">
      <alignment horizontal="center" vertical="center"/>
      <protection hidden="1"/>
    </xf>
    <xf numFmtId="0" fontId="8" fillId="3" borderId="37" xfId="0" applyFont="1" applyFill="1" applyBorder="1" applyAlignment="1" applyProtection="1">
      <alignment horizontal="center" vertical="center"/>
      <protection hidden="1"/>
    </xf>
    <xf numFmtId="0" fontId="8" fillId="3" borderId="42" xfId="0" applyFont="1" applyFill="1" applyBorder="1" applyAlignment="1" applyProtection="1">
      <alignment horizontal="center" vertical="center"/>
      <protection hidden="1"/>
    </xf>
    <xf numFmtId="0" fontId="8" fillId="3" borderId="35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18" fillId="5" borderId="21" xfId="0" applyFont="1" applyFill="1" applyBorder="1" applyProtection="1">
      <protection hidden="1"/>
    </xf>
    <xf numFmtId="3" fontId="19" fillId="10" borderId="34" xfId="0" applyNumberFormat="1" applyFont="1" applyFill="1" applyBorder="1" applyProtection="1">
      <protection hidden="1"/>
    </xf>
    <xf numFmtId="3" fontId="19" fillId="10" borderId="38" xfId="0" applyNumberFormat="1" applyFont="1" applyFill="1" applyBorder="1" applyProtection="1">
      <protection hidden="1"/>
    </xf>
    <xf numFmtId="3" fontId="19" fillId="9" borderId="43" xfId="0" applyNumberFormat="1" applyFont="1" applyFill="1" applyBorder="1" applyProtection="1">
      <protection hidden="1"/>
    </xf>
    <xf numFmtId="3" fontId="19" fillId="9" borderId="44" xfId="0" applyNumberFormat="1" applyFont="1" applyFill="1" applyBorder="1" applyProtection="1">
      <protection hidden="1"/>
    </xf>
    <xf numFmtId="3" fontId="19" fillId="11" borderId="40" xfId="0" applyNumberFormat="1" applyFont="1" applyFill="1" applyBorder="1" applyProtection="1">
      <protection hidden="1"/>
    </xf>
    <xf numFmtId="3" fontId="19" fillId="11" borderId="24" xfId="0" applyNumberFormat="1" applyFont="1" applyFill="1" applyBorder="1" applyProtection="1">
      <protection hidden="1"/>
    </xf>
    <xf numFmtId="0" fontId="18" fillId="5" borderId="22" xfId="0" applyFont="1" applyFill="1" applyBorder="1" applyProtection="1">
      <protection hidden="1"/>
    </xf>
    <xf numFmtId="3" fontId="19" fillId="9" borderId="45" xfId="0" applyNumberFormat="1" applyFont="1" applyFill="1" applyBorder="1" applyProtection="1">
      <protection hidden="1"/>
    </xf>
    <xf numFmtId="3" fontId="19" fillId="9" borderId="38" xfId="0" applyNumberFormat="1" applyFont="1" applyFill="1" applyBorder="1" applyProtection="1">
      <protection hidden="1"/>
    </xf>
    <xf numFmtId="3" fontId="19" fillId="11" borderId="36" xfId="0" applyNumberFormat="1" applyFont="1" applyFill="1" applyBorder="1" applyProtection="1">
      <protection hidden="1"/>
    </xf>
    <xf numFmtId="3" fontId="19" fillId="11" borderId="25" xfId="0" applyNumberFormat="1" applyFont="1" applyFill="1" applyBorder="1" applyProtection="1">
      <protection hidden="1"/>
    </xf>
    <xf numFmtId="0" fontId="18" fillId="5" borderId="23" xfId="0" applyFont="1" applyFill="1" applyBorder="1" applyProtection="1">
      <protection hidden="1"/>
    </xf>
    <xf numFmtId="3" fontId="19" fillId="10" borderId="30" xfId="0" applyNumberFormat="1" applyFont="1" applyFill="1" applyBorder="1" applyProtection="1">
      <protection hidden="1"/>
    </xf>
    <xf numFmtId="3" fontId="19" fillId="10" borderId="39" xfId="0" applyNumberFormat="1" applyFont="1" applyFill="1" applyBorder="1" applyProtection="1">
      <protection hidden="1"/>
    </xf>
    <xf numFmtId="3" fontId="19" fillId="9" borderId="46" xfId="0" applyNumberFormat="1" applyFont="1" applyFill="1" applyBorder="1" applyProtection="1">
      <protection hidden="1"/>
    </xf>
    <xf numFmtId="3" fontId="19" fillId="9" borderId="47" xfId="0" applyNumberFormat="1" applyFont="1" applyFill="1" applyBorder="1" applyProtection="1">
      <protection hidden="1"/>
    </xf>
    <xf numFmtId="3" fontId="19" fillId="11" borderId="41" xfId="0" applyNumberFormat="1" applyFont="1" applyFill="1" applyBorder="1" applyProtection="1">
      <protection hidden="1"/>
    </xf>
    <xf numFmtId="3" fontId="19" fillId="11" borderId="26" xfId="0" applyNumberFormat="1" applyFont="1" applyFill="1" applyBorder="1" applyProtection="1">
      <protection hidden="1"/>
    </xf>
    <xf numFmtId="0" fontId="19" fillId="5" borderId="21" xfId="0" applyFont="1" applyFill="1" applyBorder="1" applyProtection="1">
      <protection hidden="1"/>
    </xf>
    <xf numFmtId="3" fontId="22" fillId="5" borderId="21" xfId="0" applyNumberFormat="1" applyFont="1" applyFill="1" applyBorder="1" applyAlignment="1" applyProtection="1">
      <alignment horizontal="right"/>
      <protection hidden="1"/>
    </xf>
    <xf numFmtId="0" fontId="19" fillId="5" borderId="22" xfId="0" applyFont="1" applyFill="1" applyBorder="1" applyProtection="1">
      <protection hidden="1"/>
    </xf>
    <xf numFmtId="3" fontId="22" fillId="5" borderId="22" xfId="0" applyNumberFormat="1" applyFont="1" applyFill="1" applyBorder="1" applyAlignment="1" applyProtection="1">
      <alignment horizontal="right"/>
      <protection hidden="1"/>
    </xf>
    <xf numFmtId="0" fontId="8" fillId="12" borderId="0" xfId="0" applyFont="1" applyFill="1" applyBorder="1" applyAlignment="1" applyProtection="1">
      <alignment vertical="center"/>
      <protection hidden="1"/>
    </xf>
    <xf numFmtId="3" fontId="19" fillId="5" borderId="22" xfId="0" applyNumberFormat="1" applyFont="1" applyFill="1" applyBorder="1" applyAlignment="1" applyProtection="1">
      <alignment horizontal="left"/>
      <protection hidden="1"/>
    </xf>
    <xf numFmtId="0" fontId="19" fillId="5" borderId="22" xfId="0" applyFont="1" applyFill="1" applyBorder="1" applyAlignment="1" applyProtection="1">
      <alignment horizontal="left"/>
      <protection hidden="1"/>
    </xf>
    <xf numFmtId="0" fontId="19" fillId="10" borderId="22" xfId="0" applyFont="1" applyFill="1" applyBorder="1" applyProtection="1">
      <protection hidden="1"/>
    </xf>
    <xf numFmtId="3" fontId="22" fillId="10" borderId="22" xfId="0" applyNumberFormat="1" applyFont="1" applyFill="1" applyBorder="1" applyAlignment="1" applyProtection="1">
      <alignment horizontal="right"/>
      <protection hidden="1"/>
    </xf>
    <xf numFmtId="0" fontId="19" fillId="10" borderId="23" xfId="0" applyFont="1" applyFill="1" applyBorder="1" applyProtection="1">
      <protection hidden="1"/>
    </xf>
    <xf numFmtId="3" fontId="22" fillId="10" borderId="23" xfId="0" applyNumberFormat="1" applyFont="1" applyFill="1" applyBorder="1" applyAlignment="1" applyProtection="1">
      <alignment horizontal="right"/>
      <protection hidden="1"/>
    </xf>
    <xf numFmtId="0" fontId="0" fillId="12" borderId="52" xfId="0" applyFill="1" applyBorder="1" applyProtection="1">
      <protection hidden="1"/>
    </xf>
    <xf numFmtId="0" fontId="0" fillId="12" borderId="53" xfId="0" applyFill="1" applyBorder="1" applyProtection="1">
      <protection hidden="1"/>
    </xf>
    <xf numFmtId="0" fontId="0" fillId="12" borderId="54" xfId="0" applyFill="1" applyBorder="1" applyProtection="1">
      <protection hidden="1"/>
    </xf>
    <xf numFmtId="0" fontId="0" fillId="4" borderId="0" xfId="0" applyFill="1" applyProtection="1">
      <protection hidden="1"/>
    </xf>
    <xf numFmtId="0" fontId="0" fillId="0" borderId="0" xfId="0" applyBorder="1" applyProtection="1"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23" fillId="12" borderId="0" xfId="0" applyFont="1" applyFill="1" applyBorder="1" applyAlignment="1" applyProtection="1">
      <alignment horizontal="center"/>
      <protection hidden="1"/>
    </xf>
    <xf numFmtId="0" fontId="18" fillId="5" borderId="27" xfId="0" applyFont="1" applyFill="1" applyBorder="1" applyAlignment="1" applyProtection="1">
      <alignment horizontal="center" vertical="center"/>
      <protection hidden="1"/>
    </xf>
    <xf numFmtId="0" fontId="18" fillId="5" borderId="28" xfId="0" applyFont="1" applyFill="1" applyBorder="1" applyAlignment="1" applyProtection="1">
      <alignment horizontal="center" vertical="center"/>
      <protection hidden="1"/>
    </xf>
    <xf numFmtId="0" fontId="18" fillId="5" borderId="29" xfId="0" applyFont="1" applyFill="1" applyBorder="1" applyAlignment="1" applyProtection="1">
      <alignment horizontal="center" vertical="center"/>
      <protection hidden="1"/>
    </xf>
    <xf numFmtId="3" fontId="20" fillId="7" borderId="31" xfId="0" applyNumberFormat="1" applyFont="1" applyFill="1" applyBorder="1" applyAlignment="1" applyProtection="1">
      <alignment horizontal="center" vertical="center"/>
      <protection locked="0" hidden="1"/>
    </xf>
    <xf numFmtId="3" fontId="20" fillId="7" borderId="32" xfId="0" applyNumberFormat="1" applyFont="1" applyFill="1" applyBorder="1" applyAlignment="1" applyProtection="1">
      <alignment horizontal="center" vertical="center"/>
      <protection locked="0" hidden="1"/>
    </xf>
    <xf numFmtId="14" fontId="21" fillId="10" borderId="23" xfId="0" applyNumberFormat="1" applyFont="1" applyFill="1" applyBorder="1" applyAlignment="1" applyProtection="1">
      <alignment horizontal="center"/>
      <protection hidden="1"/>
    </xf>
    <xf numFmtId="14" fontId="21" fillId="10" borderId="55" xfId="0" applyNumberFormat="1" applyFont="1" applyFill="1" applyBorder="1" applyAlignment="1" applyProtection="1">
      <alignment horizontal="center"/>
      <protection hidden="1"/>
    </xf>
    <xf numFmtId="3" fontId="21" fillId="9" borderId="56" xfId="0" applyNumberFormat="1" applyFont="1" applyFill="1" applyBorder="1" applyAlignment="1" applyProtection="1">
      <alignment horizontal="center" vertical="center"/>
      <protection hidden="1"/>
    </xf>
    <xf numFmtId="3" fontId="21" fillId="9" borderId="55" xfId="0" applyNumberFormat="1" applyFont="1" applyFill="1" applyBorder="1" applyAlignment="1" applyProtection="1">
      <alignment horizontal="center" vertical="center"/>
      <protection hidden="1"/>
    </xf>
    <xf numFmtId="3" fontId="18" fillId="8" borderId="9" xfId="0" applyNumberFormat="1" applyFont="1" applyFill="1" applyBorder="1" applyAlignment="1" applyProtection="1">
      <alignment horizontal="center" vertical="center"/>
      <protection hidden="1"/>
    </xf>
    <xf numFmtId="3" fontId="18" fillId="8" borderId="10" xfId="0" applyNumberFormat="1" applyFont="1" applyFill="1" applyBorder="1" applyAlignment="1" applyProtection="1">
      <alignment horizontal="center" vertical="center"/>
      <protection hidden="1"/>
    </xf>
    <xf numFmtId="3" fontId="18" fillId="8" borderId="11" xfId="0" applyNumberFormat="1" applyFont="1" applyFill="1" applyBorder="1" applyAlignment="1" applyProtection="1">
      <alignment horizontal="center" vertical="center"/>
      <protection hidden="1"/>
    </xf>
    <xf numFmtId="3" fontId="21" fillId="11" borderId="26" xfId="0" applyNumberFormat="1" applyFont="1" applyFill="1" applyBorder="1" applyAlignment="1" applyProtection="1">
      <alignment horizontal="center" vertical="center"/>
      <protection hidden="1"/>
    </xf>
    <xf numFmtId="3" fontId="21" fillId="11" borderId="23" xfId="0" applyNumberFormat="1" applyFont="1" applyFill="1" applyBorder="1" applyAlignment="1" applyProtection="1">
      <alignment horizontal="center" vertical="center"/>
      <protection hidden="1"/>
    </xf>
    <xf numFmtId="0" fontId="12" fillId="0" borderId="20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3" fontId="12" fillId="0" borderId="20" xfId="0" applyNumberFormat="1" applyFont="1" applyBorder="1" applyAlignment="1">
      <alignment horizontal="right" vertical="center" wrapText="1"/>
    </xf>
    <xf numFmtId="3" fontId="12" fillId="0" borderId="18" xfId="0" applyNumberFormat="1" applyFont="1" applyBorder="1" applyAlignment="1">
      <alignment horizontal="right" vertical="center" wrapText="1"/>
    </xf>
    <xf numFmtId="3" fontId="13" fillId="0" borderId="20" xfId="0" applyNumberFormat="1" applyFont="1" applyBorder="1"/>
    <xf numFmtId="3" fontId="13" fillId="0" borderId="18" xfId="0" applyNumberFormat="1" applyFont="1" applyBorder="1"/>
    <xf numFmtId="0" fontId="13" fillId="0" borderId="12" xfId="0" applyFont="1" applyBorder="1" applyAlignment="1">
      <alignment vertical="center" wrapText="1"/>
    </xf>
    <xf numFmtId="3" fontId="14" fillId="0" borderId="20" xfId="0" applyNumberFormat="1" applyFont="1" applyBorder="1" applyAlignment="1">
      <alignment horizontal="right" vertical="center" wrapText="1"/>
    </xf>
    <xf numFmtId="3" fontId="14" fillId="0" borderId="18" xfId="0" applyNumberFormat="1" applyFont="1" applyBorder="1" applyAlignment="1">
      <alignment horizontal="right" vertical="center" wrapText="1"/>
    </xf>
  </cellXfs>
  <cellStyles count="5">
    <cellStyle name="Měna 2" xfId="3"/>
    <cellStyle name="Normální" xfId="0" builtinId="0"/>
    <cellStyle name="Normální 2" xfId="1"/>
    <cellStyle name="Normální 3" xfId="2"/>
    <cellStyle name="Procenta 2" xfId="4"/>
  </cellStyles>
  <dxfs count="0"/>
  <tableStyles count="0" defaultTableStyle="TableStyleMedium2" defaultPivotStyle="PivotStyleLight16"/>
  <colors>
    <mruColors>
      <color rgb="FF37F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5"/>
  <sheetViews>
    <sheetView workbookViewId="0">
      <selection activeCell="H7" sqref="H7"/>
    </sheetView>
  </sheetViews>
  <sheetFormatPr defaultRowHeight="15" x14ac:dyDescent="0.25"/>
  <cols>
    <col min="1" max="1" width="6.7109375" customWidth="1"/>
    <col min="2" max="73" width="4.5703125" customWidth="1"/>
  </cols>
  <sheetData>
    <row r="1" spans="1:73" s="1" customFormat="1" ht="7.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73" s="1" customFormat="1" ht="15.75" x14ac:dyDescent="0.25">
      <c r="A2" s="1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73" s="1" customFormat="1" ht="12.75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73" s="1" customFormat="1" ht="18" customHeight="1" x14ac:dyDescent="0.2">
      <c r="A4" s="10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12" spans="1:73" s="1" customFormat="1" ht="18" customHeight="1" x14ac:dyDescent="0.2">
      <c r="A12" s="10" t="s">
        <v>20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73" s="4" customFormat="1" ht="18" customHeight="1" x14ac:dyDescent="0.2">
      <c r="A13" s="142" t="s">
        <v>1</v>
      </c>
      <c r="B13" s="145" t="s">
        <v>2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 t="s">
        <v>3</v>
      </c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</row>
    <row r="14" spans="1:73" s="4" customFormat="1" ht="18" customHeight="1" x14ac:dyDescent="0.2">
      <c r="A14" s="143"/>
      <c r="B14" s="145" t="s">
        <v>4</v>
      </c>
      <c r="C14" s="145"/>
      <c r="D14" s="145"/>
      <c r="E14" s="145"/>
      <c r="F14" s="145"/>
      <c r="G14" s="145"/>
      <c r="H14" s="145"/>
      <c r="I14" s="145"/>
      <c r="J14" s="145"/>
      <c r="K14" s="145" t="s">
        <v>5</v>
      </c>
      <c r="L14" s="145"/>
      <c r="M14" s="145"/>
      <c r="N14" s="145"/>
      <c r="O14" s="145"/>
      <c r="P14" s="145"/>
      <c r="Q14" s="145"/>
      <c r="R14" s="145"/>
      <c r="S14" s="145"/>
      <c r="T14" s="145" t="s">
        <v>6</v>
      </c>
      <c r="U14" s="145"/>
      <c r="V14" s="145"/>
      <c r="W14" s="145"/>
      <c r="X14" s="145"/>
      <c r="Y14" s="145"/>
      <c r="Z14" s="145"/>
      <c r="AA14" s="145"/>
      <c r="AB14" s="145"/>
      <c r="AC14" s="145" t="s">
        <v>7</v>
      </c>
      <c r="AD14" s="145"/>
      <c r="AE14" s="145"/>
      <c r="AF14" s="145"/>
      <c r="AG14" s="145"/>
      <c r="AH14" s="145"/>
      <c r="AI14" s="145"/>
      <c r="AJ14" s="145"/>
      <c r="AK14" s="145"/>
      <c r="AL14" s="145" t="s">
        <v>4</v>
      </c>
      <c r="AM14" s="145"/>
      <c r="AN14" s="145"/>
      <c r="AO14" s="145"/>
      <c r="AP14" s="145"/>
      <c r="AQ14" s="145"/>
      <c r="AR14" s="145"/>
      <c r="AS14" s="145"/>
      <c r="AT14" s="145"/>
      <c r="AU14" s="145" t="s">
        <v>5</v>
      </c>
      <c r="AV14" s="145"/>
      <c r="AW14" s="145"/>
      <c r="AX14" s="145"/>
      <c r="AY14" s="145"/>
      <c r="AZ14" s="145"/>
      <c r="BA14" s="145"/>
      <c r="BB14" s="145"/>
      <c r="BC14" s="145"/>
      <c r="BD14" s="145" t="s">
        <v>6</v>
      </c>
      <c r="BE14" s="145"/>
      <c r="BF14" s="145"/>
      <c r="BG14" s="145"/>
      <c r="BH14" s="145"/>
      <c r="BI14" s="145"/>
      <c r="BJ14" s="145"/>
      <c r="BK14" s="145"/>
      <c r="BL14" s="145"/>
      <c r="BM14" s="145" t="s">
        <v>7</v>
      </c>
      <c r="BN14" s="145"/>
      <c r="BO14" s="145"/>
      <c r="BP14" s="145"/>
      <c r="BQ14" s="145"/>
      <c r="BR14" s="145"/>
      <c r="BS14" s="145"/>
      <c r="BT14" s="145"/>
      <c r="BU14" s="145"/>
    </row>
    <row r="15" spans="1:73" s="4" customFormat="1" ht="18" customHeight="1" x14ac:dyDescent="0.2">
      <c r="A15" s="144"/>
      <c r="B15" s="5" t="s">
        <v>8</v>
      </c>
      <c r="C15" s="5" t="s">
        <v>9</v>
      </c>
      <c r="D15" s="5" t="s">
        <v>10</v>
      </c>
      <c r="E15" s="5" t="s">
        <v>11</v>
      </c>
      <c r="F15" s="5" t="s">
        <v>12</v>
      </c>
      <c r="G15" s="5" t="s">
        <v>13</v>
      </c>
      <c r="H15" s="5" t="s">
        <v>14</v>
      </c>
      <c r="I15" s="5" t="s">
        <v>15</v>
      </c>
      <c r="J15" s="5" t="s">
        <v>16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  <c r="Q15" s="5" t="s">
        <v>14</v>
      </c>
      <c r="R15" s="5" t="s">
        <v>15</v>
      </c>
      <c r="S15" s="5" t="s">
        <v>16</v>
      </c>
      <c r="T15" s="5" t="s">
        <v>8</v>
      </c>
      <c r="U15" s="5" t="s">
        <v>9</v>
      </c>
      <c r="V15" s="5" t="s">
        <v>10</v>
      </c>
      <c r="W15" s="5" t="s">
        <v>11</v>
      </c>
      <c r="X15" s="5" t="s">
        <v>12</v>
      </c>
      <c r="Y15" s="5" t="s">
        <v>13</v>
      </c>
      <c r="Z15" s="5" t="s">
        <v>14</v>
      </c>
      <c r="AA15" s="5" t="s">
        <v>15</v>
      </c>
      <c r="AB15" s="5" t="s">
        <v>16</v>
      </c>
      <c r="AC15" s="5" t="s">
        <v>8</v>
      </c>
      <c r="AD15" s="5" t="s">
        <v>9</v>
      </c>
      <c r="AE15" s="5" t="s">
        <v>10</v>
      </c>
      <c r="AF15" s="5" t="s">
        <v>11</v>
      </c>
      <c r="AG15" s="5" t="s">
        <v>12</v>
      </c>
      <c r="AH15" s="5" t="s">
        <v>13</v>
      </c>
      <c r="AI15" s="5" t="s">
        <v>14</v>
      </c>
      <c r="AJ15" s="5" t="s">
        <v>15</v>
      </c>
      <c r="AK15" s="5" t="s">
        <v>16</v>
      </c>
      <c r="AL15" s="5" t="s">
        <v>8</v>
      </c>
      <c r="AM15" s="5" t="s">
        <v>9</v>
      </c>
      <c r="AN15" s="5" t="s">
        <v>10</v>
      </c>
      <c r="AO15" s="5" t="s">
        <v>11</v>
      </c>
      <c r="AP15" s="5" t="s">
        <v>12</v>
      </c>
      <c r="AQ15" s="5" t="s">
        <v>13</v>
      </c>
      <c r="AR15" s="5" t="s">
        <v>14</v>
      </c>
      <c r="AS15" s="5" t="s">
        <v>15</v>
      </c>
      <c r="AT15" s="5" t="s">
        <v>16</v>
      </c>
      <c r="AU15" s="5" t="s">
        <v>8</v>
      </c>
      <c r="AV15" s="5" t="s">
        <v>9</v>
      </c>
      <c r="AW15" s="5" t="s">
        <v>10</v>
      </c>
      <c r="AX15" s="5" t="s">
        <v>11</v>
      </c>
      <c r="AY15" s="5" t="s">
        <v>12</v>
      </c>
      <c r="AZ15" s="5" t="s">
        <v>13</v>
      </c>
      <c r="BA15" s="5" t="s">
        <v>14</v>
      </c>
      <c r="BB15" s="5" t="s">
        <v>15</v>
      </c>
      <c r="BC15" s="5" t="s">
        <v>16</v>
      </c>
      <c r="BD15" s="5" t="s">
        <v>8</v>
      </c>
      <c r="BE15" s="5" t="s">
        <v>9</v>
      </c>
      <c r="BF15" s="5" t="s">
        <v>10</v>
      </c>
      <c r="BG15" s="5" t="s">
        <v>11</v>
      </c>
      <c r="BH15" s="5" t="s">
        <v>12</v>
      </c>
      <c r="BI15" s="5" t="s">
        <v>13</v>
      </c>
      <c r="BJ15" s="5" t="s">
        <v>14</v>
      </c>
      <c r="BK15" s="5" t="s">
        <v>15</v>
      </c>
      <c r="BL15" s="5" t="s">
        <v>16</v>
      </c>
      <c r="BM15" s="5" t="s">
        <v>8</v>
      </c>
      <c r="BN15" s="5" t="s">
        <v>9</v>
      </c>
      <c r="BO15" s="5" t="s">
        <v>10</v>
      </c>
      <c r="BP15" s="5" t="s">
        <v>11</v>
      </c>
      <c r="BQ15" s="5" t="s">
        <v>12</v>
      </c>
      <c r="BR15" s="5" t="s">
        <v>13</v>
      </c>
      <c r="BS15" s="5" t="s">
        <v>14</v>
      </c>
      <c r="BT15" s="5" t="s">
        <v>15</v>
      </c>
      <c r="BU15" s="5" t="s">
        <v>16</v>
      </c>
    </row>
    <row r="16" spans="1:73" s="8" customFormat="1" ht="24" customHeight="1" x14ac:dyDescent="0.25">
      <c r="A16" s="6" t="s">
        <v>17</v>
      </c>
      <c r="B16" s="7">
        <v>40</v>
      </c>
      <c r="C16" s="7">
        <v>34</v>
      </c>
      <c r="D16" s="7">
        <v>11</v>
      </c>
      <c r="E16" s="7">
        <v>28</v>
      </c>
      <c r="F16" s="7">
        <v>25</v>
      </c>
      <c r="G16" s="7">
        <v>45</v>
      </c>
      <c r="H16" s="7">
        <v>49</v>
      </c>
      <c r="I16" s="7">
        <v>52</v>
      </c>
      <c r="J16" s="7">
        <v>8</v>
      </c>
      <c r="K16" s="7">
        <v>15</v>
      </c>
      <c r="L16" s="7">
        <v>52</v>
      </c>
      <c r="M16" s="7">
        <v>13</v>
      </c>
      <c r="N16" s="7">
        <v>25</v>
      </c>
      <c r="O16" s="7">
        <v>19</v>
      </c>
      <c r="P16" s="7">
        <v>34</v>
      </c>
      <c r="Q16" s="7">
        <v>47</v>
      </c>
      <c r="R16" s="7">
        <v>18</v>
      </c>
      <c r="S16" s="7">
        <v>10</v>
      </c>
      <c r="T16" s="7">
        <v>19</v>
      </c>
      <c r="U16" s="7">
        <v>62</v>
      </c>
      <c r="V16" s="7">
        <v>14</v>
      </c>
      <c r="W16" s="7">
        <v>10</v>
      </c>
      <c r="X16" s="7">
        <v>15</v>
      </c>
      <c r="Y16" s="7">
        <v>20</v>
      </c>
      <c r="Z16" s="7">
        <v>29</v>
      </c>
      <c r="AA16" s="7">
        <v>23</v>
      </c>
      <c r="AB16" s="7">
        <v>10</v>
      </c>
      <c r="AC16" s="7">
        <v>14</v>
      </c>
      <c r="AD16" s="7">
        <v>59</v>
      </c>
      <c r="AE16" s="7">
        <v>4</v>
      </c>
      <c r="AF16" s="7">
        <v>10</v>
      </c>
      <c r="AG16" s="7">
        <v>6</v>
      </c>
      <c r="AH16" s="7">
        <v>11</v>
      </c>
      <c r="AI16" s="7">
        <v>12</v>
      </c>
      <c r="AJ16" s="7">
        <v>5</v>
      </c>
      <c r="AK16" s="7">
        <v>6</v>
      </c>
      <c r="AL16" s="7">
        <v>18</v>
      </c>
      <c r="AM16" s="7">
        <v>37</v>
      </c>
      <c r="AN16" s="7">
        <v>18</v>
      </c>
      <c r="AO16" s="7">
        <v>27</v>
      </c>
      <c r="AP16" s="7">
        <v>51</v>
      </c>
      <c r="AQ16" s="7">
        <v>116</v>
      </c>
      <c r="AR16" s="7">
        <v>189</v>
      </c>
      <c r="AS16" s="7">
        <v>123</v>
      </c>
      <c r="AT16" s="7">
        <v>34</v>
      </c>
      <c r="AU16" s="7">
        <v>10</v>
      </c>
      <c r="AV16" s="7">
        <v>43</v>
      </c>
      <c r="AW16" s="7">
        <v>17</v>
      </c>
      <c r="AX16" s="7">
        <v>24</v>
      </c>
      <c r="AY16" s="7">
        <v>40</v>
      </c>
      <c r="AZ16" s="7">
        <v>69</v>
      </c>
      <c r="BA16" s="7">
        <v>117</v>
      </c>
      <c r="BB16" s="7">
        <v>103</v>
      </c>
      <c r="BC16" s="7">
        <v>45</v>
      </c>
      <c r="BD16" s="7">
        <v>12</v>
      </c>
      <c r="BE16" s="7">
        <v>44</v>
      </c>
      <c r="BF16" s="7">
        <v>8</v>
      </c>
      <c r="BG16" s="7">
        <v>7</v>
      </c>
      <c r="BH16" s="7">
        <v>25</v>
      </c>
      <c r="BI16" s="7">
        <v>43</v>
      </c>
      <c r="BJ16" s="7">
        <v>83</v>
      </c>
      <c r="BK16" s="7">
        <v>95</v>
      </c>
      <c r="BL16" s="7">
        <v>38</v>
      </c>
      <c r="BM16" s="7">
        <v>8</v>
      </c>
      <c r="BN16" s="7">
        <v>16</v>
      </c>
      <c r="BO16" s="7">
        <v>3</v>
      </c>
      <c r="BP16" s="7">
        <v>7</v>
      </c>
      <c r="BQ16" s="7">
        <v>8</v>
      </c>
      <c r="BR16" s="7">
        <v>19</v>
      </c>
      <c r="BS16" s="7">
        <v>33</v>
      </c>
      <c r="BT16" s="7">
        <v>44</v>
      </c>
      <c r="BU16" s="7">
        <v>24</v>
      </c>
    </row>
    <row r="17" spans="1:73" s="8" customFormat="1" ht="24" customHeight="1" x14ac:dyDescent="0.25">
      <c r="A17" s="6" t="s">
        <v>18</v>
      </c>
      <c r="B17" s="7">
        <v>43</v>
      </c>
      <c r="C17" s="7">
        <v>36</v>
      </c>
      <c r="D17" s="7">
        <v>19</v>
      </c>
      <c r="E17" s="7">
        <v>17</v>
      </c>
      <c r="F17" s="7">
        <v>31</v>
      </c>
      <c r="G17" s="7">
        <v>28</v>
      </c>
      <c r="H17" s="7">
        <v>34</v>
      </c>
      <c r="I17" s="7">
        <v>29</v>
      </c>
      <c r="J17" s="7">
        <v>6</v>
      </c>
      <c r="K17" s="9">
        <v>25</v>
      </c>
      <c r="L17" s="9">
        <v>64</v>
      </c>
      <c r="M17" s="9">
        <v>22</v>
      </c>
      <c r="N17" s="9">
        <v>23</v>
      </c>
      <c r="O17" s="9">
        <v>22</v>
      </c>
      <c r="P17" s="9">
        <v>24</v>
      </c>
      <c r="Q17" s="9">
        <v>26</v>
      </c>
      <c r="R17" s="9">
        <v>29</v>
      </c>
      <c r="S17" s="9">
        <v>19</v>
      </c>
      <c r="T17" s="9">
        <v>13</v>
      </c>
      <c r="U17" s="9">
        <v>53</v>
      </c>
      <c r="V17" s="9">
        <v>8</v>
      </c>
      <c r="W17" s="9">
        <v>19</v>
      </c>
      <c r="X17" s="9">
        <v>26</v>
      </c>
      <c r="Y17" s="9">
        <v>17</v>
      </c>
      <c r="Z17" s="9">
        <v>23</v>
      </c>
      <c r="AA17" s="9">
        <v>17</v>
      </c>
      <c r="AB17" s="9">
        <v>12</v>
      </c>
      <c r="AC17" s="9">
        <v>14</v>
      </c>
      <c r="AD17" s="9">
        <v>55</v>
      </c>
      <c r="AE17" s="9">
        <v>6</v>
      </c>
      <c r="AF17" s="9">
        <v>7</v>
      </c>
      <c r="AG17" s="9">
        <v>11</v>
      </c>
      <c r="AH17" s="9">
        <v>14</v>
      </c>
      <c r="AI17" s="9">
        <v>11</v>
      </c>
      <c r="AJ17" s="9">
        <v>12</v>
      </c>
      <c r="AK17" s="9">
        <v>5</v>
      </c>
      <c r="AL17" s="9">
        <v>33</v>
      </c>
      <c r="AM17" s="9">
        <v>41</v>
      </c>
      <c r="AN17" s="9">
        <v>18</v>
      </c>
      <c r="AO17" s="9">
        <v>20</v>
      </c>
      <c r="AP17" s="9">
        <v>38</v>
      </c>
      <c r="AQ17" s="9">
        <v>69</v>
      </c>
      <c r="AR17" s="9">
        <v>122</v>
      </c>
      <c r="AS17" s="9">
        <v>99</v>
      </c>
      <c r="AT17" s="9">
        <v>28</v>
      </c>
      <c r="AU17" s="9">
        <v>14</v>
      </c>
      <c r="AV17" s="9">
        <v>44</v>
      </c>
      <c r="AW17" s="9">
        <v>11</v>
      </c>
      <c r="AX17" s="9">
        <v>17</v>
      </c>
      <c r="AY17" s="9">
        <v>44</v>
      </c>
      <c r="AZ17" s="9">
        <v>49</v>
      </c>
      <c r="BA17" s="9">
        <v>86</v>
      </c>
      <c r="BB17" s="9">
        <v>101</v>
      </c>
      <c r="BC17" s="9">
        <v>69</v>
      </c>
      <c r="BD17" s="9">
        <v>7</v>
      </c>
      <c r="BE17" s="9">
        <v>38</v>
      </c>
      <c r="BF17" s="9">
        <v>6</v>
      </c>
      <c r="BG17" s="9">
        <v>16</v>
      </c>
      <c r="BH17" s="9">
        <v>17</v>
      </c>
      <c r="BI17" s="9">
        <v>32</v>
      </c>
      <c r="BJ17" s="9">
        <v>50</v>
      </c>
      <c r="BK17" s="9">
        <v>84</v>
      </c>
      <c r="BL17" s="9">
        <v>83</v>
      </c>
      <c r="BM17" s="9">
        <v>4</v>
      </c>
      <c r="BN17" s="9">
        <v>13</v>
      </c>
      <c r="BO17" s="9">
        <v>4</v>
      </c>
      <c r="BP17" s="9">
        <v>1</v>
      </c>
      <c r="BQ17" s="9">
        <v>12</v>
      </c>
      <c r="BR17" s="9">
        <v>18</v>
      </c>
      <c r="BS17" s="9">
        <v>36</v>
      </c>
      <c r="BT17" s="9">
        <v>48</v>
      </c>
      <c r="BU17" s="9">
        <v>45</v>
      </c>
    </row>
    <row r="20" spans="1:73" s="1" customFormat="1" ht="18" customHeight="1" x14ac:dyDescent="0.2">
      <c r="A20" s="10" t="s">
        <v>21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73" s="4" customFormat="1" ht="18" customHeight="1" x14ac:dyDescent="0.2">
      <c r="A21" s="142" t="s">
        <v>1</v>
      </c>
      <c r="B21" s="145" t="s">
        <v>2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 t="s">
        <v>3</v>
      </c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</row>
    <row r="22" spans="1:73" s="4" customFormat="1" ht="18" customHeight="1" x14ac:dyDescent="0.2">
      <c r="A22" s="143"/>
      <c r="B22" s="145" t="s">
        <v>4</v>
      </c>
      <c r="C22" s="145"/>
      <c r="D22" s="145"/>
      <c r="E22" s="145"/>
      <c r="F22" s="145"/>
      <c r="G22" s="145"/>
      <c r="H22" s="145"/>
      <c r="I22" s="145"/>
      <c r="J22" s="145"/>
      <c r="K22" s="145" t="s">
        <v>5</v>
      </c>
      <c r="L22" s="145"/>
      <c r="M22" s="145"/>
      <c r="N22" s="145"/>
      <c r="O22" s="145"/>
      <c r="P22" s="145"/>
      <c r="Q22" s="145"/>
      <c r="R22" s="145"/>
      <c r="S22" s="145"/>
      <c r="T22" s="145" t="s">
        <v>6</v>
      </c>
      <c r="U22" s="145"/>
      <c r="V22" s="145"/>
      <c r="W22" s="145"/>
      <c r="X22" s="145"/>
      <c r="Y22" s="145"/>
      <c r="Z22" s="145"/>
      <c r="AA22" s="145"/>
      <c r="AB22" s="145"/>
      <c r="AC22" s="145" t="s">
        <v>7</v>
      </c>
      <c r="AD22" s="145"/>
      <c r="AE22" s="145"/>
      <c r="AF22" s="145"/>
      <c r="AG22" s="145"/>
      <c r="AH22" s="145"/>
      <c r="AI22" s="145"/>
      <c r="AJ22" s="145"/>
      <c r="AK22" s="145"/>
      <c r="AL22" s="145" t="s">
        <v>4</v>
      </c>
      <c r="AM22" s="145"/>
      <c r="AN22" s="145"/>
      <c r="AO22" s="145"/>
      <c r="AP22" s="145"/>
      <c r="AQ22" s="145"/>
      <c r="AR22" s="145"/>
      <c r="AS22" s="145"/>
      <c r="AT22" s="145"/>
      <c r="AU22" s="145" t="s">
        <v>5</v>
      </c>
      <c r="AV22" s="145"/>
      <c r="AW22" s="145"/>
      <c r="AX22" s="145"/>
      <c r="AY22" s="145"/>
      <c r="AZ22" s="145"/>
      <c r="BA22" s="145"/>
      <c r="BB22" s="145"/>
      <c r="BC22" s="145"/>
      <c r="BD22" s="145" t="s">
        <v>6</v>
      </c>
      <c r="BE22" s="145"/>
      <c r="BF22" s="145"/>
      <c r="BG22" s="145"/>
      <c r="BH22" s="145"/>
      <c r="BI22" s="145"/>
      <c r="BJ22" s="145"/>
      <c r="BK22" s="145"/>
      <c r="BL22" s="145"/>
      <c r="BM22" s="145" t="s">
        <v>7</v>
      </c>
      <c r="BN22" s="145"/>
      <c r="BO22" s="145"/>
      <c r="BP22" s="145"/>
      <c r="BQ22" s="145"/>
      <c r="BR22" s="145"/>
      <c r="BS22" s="145"/>
      <c r="BT22" s="145"/>
      <c r="BU22" s="145"/>
    </row>
    <row r="23" spans="1:73" s="4" customFormat="1" ht="18" customHeight="1" x14ac:dyDescent="0.2">
      <c r="A23" s="144"/>
      <c r="B23" s="5" t="s">
        <v>8</v>
      </c>
      <c r="C23" s="5" t="s">
        <v>9</v>
      </c>
      <c r="D23" s="5" t="s">
        <v>10</v>
      </c>
      <c r="E23" s="5" t="s">
        <v>11</v>
      </c>
      <c r="F23" s="5" t="s">
        <v>12</v>
      </c>
      <c r="G23" s="5" t="s">
        <v>13</v>
      </c>
      <c r="H23" s="5" t="s">
        <v>14</v>
      </c>
      <c r="I23" s="5" t="s">
        <v>15</v>
      </c>
      <c r="J23" s="5" t="s">
        <v>16</v>
      </c>
      <c r="K23" s="5" t="s">
        <v>8</v>
      </c>
      <c r="L23" s="5" t="s">
        <v>9</v>
      </c>
      <c r="M23" s="5" t="s">
        <v>10</v>
      </c>
      <c r="N23" s="5" t="s">
        <v>11</v>
      </c>
      <c r="O23" s="5" t="s">
        <v>12</v>
      </c>
      <c r="P23" s="5" t="s">
        <v>13</v>
      </c>
      <c r="Q23" s="5" t="s">
        <v>14</v>
      </c>
      <c r="R23" s="5" t="s">
        <v>15</v>
      </c>
      <c r="S23" s="5" t="s">
        <v>16</v>
      </c>
      <c r="T23" s="5" t="s">
        <v>8</v>
      </c>
      <c r="U23" s="5" t="s">
        <v>9</v>
      </c>
      <c r="V23" s="5" t="s">
        <v>10</v>
      </c>
      <c r="W23" s="5" t="s">
        <v>11</v>
      </c>
      <c r="X23" s="5" t="s">
        <v>12</v>
      </c>
      <c r="Y23" s="5" t="s">
        <v>13</v>
      </c>
      <c r="Z23" s="5" t="s">
        <v>14</v>
      </c>
      <c r="AA23" s="5" t="s">
        <v>15</v>
      </c>
      <c r="AB23" s="5" t="s">
        <v>16</v>
      </c>
      <c r="AC23" s="5" t="s">
        <v>8</v>
      </c>
      <c r="AD23" s="5" t="s">
        <v>9</v>
      </c>
      <c r="AE23" s="5" t="s">
        <v>10</v>
      </c>
      <c r="AF23" s="5" t="s">
        <v>11</v>
      </c>
      <c r="AG23" s="5" t="s">
        <v>12</v>
      </c>
      <c r="AH23" s="5" t="s">
        <v>13</v>
      </c>
      <c r="AI23" s="5" t="s">
        <v>14</v>
      </c>
      <c r="AJ23" s="5" t="s">
        <v>15</v>
      </c>
      <c r="AK23" s="5" t="s">
        <v>16</v>
      </c>
      <c r="AL23" s="5" t="s">
        <v>8</v>
      </c>
      <c r="AM23" s="5" t="s">
        <v>9</v>
      </c>
      <c r="AN23" s="5" t="s">
        <v>10</v>
      </c>
      <c r="AO23" s="5" t="s">
        <v>11</v>
      </c>
      <c r="AP23" s="5" t="s">
        <v>12</v>
      </c>
      <c r="AQ23" s="5" t="s">
        <v>13</v>
      </c>
      <c r="AR23" s="5" t="s">
        <v>14</v>
      </c>
      <c r="AS23" s="5" t="s">
        <v>15</v>
      </c>
      <c r="AT23" s="5" t="s">
        <v>16</v>
      </c>
      <c r="AU23" s="5" t="s">
        <v>8</v>
      </c>
      <c r="AV23" s="5" t="s">
        <v>9</v>
      </c>
      <c r="AW23" s="5" t="s">
        <v>10</v>
      </c>
      <c r="AX23" s="5" t="s">
        <v>11</v>
      </c>
      <c r="AY23" s="5" t="s">
        <v>12</v>
      </c>
      <c r="AZ23" s="5" t="s">
        <v>13</v>
      </c>
      <c r="BA23" s="5" t="s">
        <v>14</v>
      </c>
      <c r="BB23" s="5" t="s">
        <v>15</v>
      </c>
      <c r="BC23" s="5" t="s">
        <v>16</v>
      </c>
      <c r="BD23" s="5" t="s">
        <v>8</v>
      </c>
      <c r="BE23" s="5" t="s">
        <v>9</v>
      </c>
      <c r="BF23" s="5" t="s">
        <v>10</v>
      </c>
      <c r="BG23" s="5" t="s">
        <v>11</v>
      </c>
      <c r="BH23" s="5" t="s">
        <v>12</v>
      </c>
      <c r="BI23" s="5" t="s">
        <v>13</v>
      </c>
      <c r="BJ23" s="5" t="s">
        <v>14</v>
      </c>
      <c r="BK23" s="5" t="s">
        <v>15</v>
      </c>
      <c r="BL23" s="5" t="s">
        <v>16</v>
      </c>
      <c r="BM23" s="5" t="s">
        <v>8</v>
      </c>
      <c r="BN23" s="5" t="s">
        <v>9</v>
      </c>
      <c r="BO23" s="5" t="s">
        <v>10</v>
      </c>
      <c r="BP23" s="5" t="s">
        <v>11</v>
      </c>
      <c r="BQ23" s="5" t="s">
        <v>12</v>
      </c>
      <c r="BR23" s="5" t="s">
        <v>13</v>
      </c>
      <c r="BS23" s="5" t="s">
        <v>14</v>
      </c>
      <c r="BT23" s="5" t="s">
        <v>15</v>
      </c>
      <c r="BU23" s="5" t="s">
        <v>16</v>
      </c>
    </row>
    <row r="24" spans="1:73" s="8" customFormat="1" ht="24" customHeight="1" x14ac:dyDescent="0.25">
      <c r="A24" s="6" t="s">
        <v>17</v>
      </c>
      <c r="B24" s="7">
        <v>81</v>
      </c>
      <c r="C24" s="7">
        <v>72</v>
      </c>
      <c r="D24" s="7">
        <v>18</v>
      </c>
      <c r="E24" s="7">
        <v>31</v>
      </c>
      <c r="F24" s="7">
        <v>34</v>
      </c>
      <c r="G24" s="7">
        <v>32</v>
      </c>
      <c r="H24" s="7">
        <v>37</v>
      </c>
      <c r="I24" s="7">
        <v>35</v>
      </c>
      <c r="J24" s="7">
        <v>16</v>
      </c>
      <c r="K24" s="7">
        <v>34</v>
      </c>
      <c r="L24" s="7">
        <v>88</v>
      </c>
      <c r="M24" s="7">
        <v>23</v>
      </c>
      <c r="N24" s="7">
        <v>28</v>
      </c>
      <c r="O24" s="7">
        <v>23</v>
      </c>
      <c r="P24" s="7">
        <v>34</v>
      </c>
      <c r="Q24" s="7">
        <v>23</v>
      </c>
      <c r="R24" s="7">
        <v>14</v>
      </c>
      <c r="S24" s="7">
        <v>8</v>
      </c>
      <c r="T24" s="7">
        <v>19</v>
      </c>
      <c r="U24" s="7">
        <v>60</v>
      </c>
      <c r="V24" s="7">
        <v>4</v>
      </c>
      <c r="W24" s="7">
        <v>10</v>
      </c>
      <c r="X24" s="7">
        <v>13</v>
      </c>
      <c r="Y24" s="7">
        <v>9</v>
      </c>
      <c r="Z24" s="7">
        <v>17</v>
      </c>
      <c r="AA24" s="7">
        <v>16</v>
      </c>
      <c r="AB24" s="7">
        <v>8</v>
      </c>
      <c r="AC24" s="7">
        <v>22</v>
      </c>
      <c r="AD24" s="7">
        <v>33</v>
      </c>
      <c r="AE24" s="7">
        <v>5</v>
      </c>
      <c r="AF24" s="7">
        <v>7</v>
      </c>
      <c r="AG24" s="7">
        <v>8</v>
      </c>
      <c r="AH24" s="7">
        <v>12</v>
      </c>
      <c r="AI24" s="7">
        <v>12</v>
      </c>
      <c r="AJ24" s="7">
        <v>2</v>
      </c>
      <c r="AK24" s="7">
        <v>5</v>
      </c>
      <c r="AL24" s="7">
        <v>54</v>
      </c>
      <c r="AM24" s="7">
        <v>61</v>
      </c>
      <c r="AN24" s="7">
        <v>24</v>
      </c>
      <c r="AO24" s="7">
        <v>30</v>
      </c>
      <c r="AP24" s="7">
        <v>46</v>
      </c>
      <c r="AQ24" s="7">
        <v>104</v>
      </c>
      <c r="AR24" s="7">
        <v>149</v>
      </c>
      <c r="AS24" s="7">
        <v>158</v>
      </c>
      <c r="AT24" s="7">
        <v>48</v>
      </c>
      <c r="AU24" s="7">
        <v>11</v>
      </c>
      <c r="AV24" s="7">
        <v>78</v>
      </c>
      <c r="AW24" s="7">
        <v>15</v>
      </c>
      <c r="AX24" s="7">
        <v>16</v>
      </c>
      <c r="AY24" s="7">
        <v>40</v>
      </c>
      <c r="AZ24" s="7">
        <v>51</v>
      </c>
      <c r="BA24" s="7">
        <v>79</v>
      </c>
      <c r="BB24" s="7">
        <v>82</v>
      </c>
      <c r="BC24" s="7">
        <v>34</v>
      </c>
      <c r="BD24" s="7">
        <v>31</v>
      </c>
      <c r="BE24" s="7">
        <v>45</v>
      </c>
      <c r="BF24" s="7">
        <v>10</v>
      </c>
      <c r="BG24" s="7">
        <v>14</v>
      </c>
      <c r="BH24" s="7">
        <v>9</v>
      </c>
      <c r="BI24" s="7">
        <v>18</v>
      </c>
      <c r="BJ24" s="7">
        <v>45</v>
      </c>
      <c r="BK24" s="7">
        <v>61</v>
      </c>
      <c r="BL24" s="7">
        <v>21</v>
      </c>
      <c r="BM24" s="7">
        <v>18</v>
      </c>
      <c r="BN24" s="7">
        <v>29</v>
      </c>
      <c r="BO24" s="7">
        <v>1</v>
      </c>
      <c r="BP24" s="7">
        <v>3</v>
      </c>
      <c r="BQ24" s="7">
        <v>7</v>
      </c>
      <c r="BR24" s="7">
        <v>17</v>
      </c>
      <c r="BS24" s="7">
        <v>33</v>
      </c>
      <c r="BT24" s="7">
        <v>46</v>
      </c>
      <c r="BU24" s="7">
        <v>27</v>
      </c>
    </row>
    <row r="25" spans="1:73" s="8" customFormat="1" ht="24" customHeight="1" x14ac:dyDescent="0.25">
      <c r="A25" s="6" t="s">
        <v>18</v>
      </c>
      <c r="B25" s="7">
        <v>39</v>
      </c>
      <c r="C25" s="7">
        <v>86</v>
      </c>
      <c r="D25" s="7">
        <v>23</v>
      </c>
      <c r="E25" s="7">
        <v>32</v>
      </c>
      <c r="F25" s="7">
        <v>35</v>
      </c>
      <c r="G25" s="7">
        <v>28</v>
      </c>
      <c r="H25" s="7">
        <v>37</v>
      </c>
      <c r="I25" s="7">
        <v>43</v>
      </c>
      <c r="J25" s="7">
        <v>19</v>
      </c>
      <c r="K25" s="9">
        <v>31</v>
      </c>
      <c r="L25" s="9">
        <v>86</v>
      </c>
      <c r="M25" s="9">
        <v>20</v>
      </c>
      <c r="N25" s="9">
        <v>27</v>
      </c>
      <c r="O25" s="9">
        <v>40</v>
      </c>
      <c r="P25" s="9">
        <v>42</v>
      </c>
      <c r="Q25" s="9">
        <v>41</v>
      </c>
      <c r="R25" s="9">
        <v>31</v>
      </c>
      <c r="S25" s="9">
        <v>19</v>
      </c>
      <c r="T25" s="9">
        <v>14</v>
      </c>
      <c r="U25" s="9">
        <v>81</v>
      </c>
      <c r="V25" s="9">
        <v>13</v>
      </c>
      <c r="W25" s="9">
        <v>9</v>
      </c>
      <c r="X25" s="9">
        <v>19</v>
      </c>
      <c r="Y25" s="9">
        <v>23</v>
      </c>
      <c r="Z25" s="9">
        <v>17</v>
      </c>
      <c r="AA25" s="9">
        <v>18</v>
      </c>
      <c r="AB25" s="9">
        <v>6</v>
      </c>
      <c r="AC25" s="9">
        <v>19</v>
      </c>
      <c r="AD25" s="9">
        <v>46</v>
      </c>
      <c r="AE25" s="9">
        <v>4</v>
      </c>
      <c r="AF25" s="9">
        <v>10</v>
      </c>
      <c r="AG25" s="9">
        <v>14</v>
      </c>
      <c r="AH25" s="9">
        <v>13</v>
      </c>
      <c r="AI25" s="9">
        <v>14</v>
      </c>
      <c r="AJ25" s="9">
        <v>16</v>
      </c>
      <c r="AK25" s="9">
        <v>3</v>
      </c>
      <c r="AL25" s="9">
        <v>28</v>
      </c>
      <c r="AM25" s="9">
        <v>73</v>
      </c>
      <c r="AN25" s="9">
        <v>18</v>
      </c>
      <c r="AO25" s="9">
        <v>38</v>
      </c>
      <c r="AP25" s="9">
        <v>43</v>
      </c>
      <c r="AQ25" s="9">
        <v>91</v>
      </c>
      <c r="AR25" s="9">
        <v>143</v>
      </c>
      <c r="AS25" s="9">
        <v>141</v>
      </c>
      <c r="AT25" s="9">
        <v>46</v>
      </c>
      <c r="AU25" s="9">
        <v>14</v>
      </c>
      <c r="AV25" s="9">
        <v>71</v>
      </c>
      <c r="AW25" s="9">
        <v>20</v>
      </c>
      <c r="AX25" s="9">
        <v>21</v>
      </c>
      <c r="AY25" s="9">
        <v>36</v>
      </c>
      <c r="AZ25" s="9">
        <v>52</v>
      </c>
      <c r="BA25" s="9">
        <v>89</v>
      </c>
      <c r="BB25" s="9">
        <v>112</v>
      </c>
      <c r="BC25" s="9">
        <v>66</v>
      </c>
      <c r="BD25" s="9">
        <v>10</v>
      </c>
      <c r="BE25" s="9">
        <v>62</v>
      </c>
      <c r="BF25" s="9">
        <v>9</v>
      </c>
      <c r="BG25" s="9">
        <v>10</v>
      </c>
      <c r="BH25" s="9">
        <v>22</v>
      </c>
      <c r="BI25" s="9">
        <v>30</v>
      </c>
      <c r="BJ25" s="9">
        <v>51</v>
      </c>
      <c r="BK25" s="9">
        <v>67</v>
      </c>
      <c r="BL25" s="9">
        <v>52</v>
      </c>
      <c r="BM25" s="9">
        <v>10</v>
      </c>
      <c r="BN25" s="9">
        <v>45</v>
      </c>
      <c r="BO25" s="9">
        <v>10</v>
      </c>
      <c r="BP25" s="9">
        <v>6</v>
      </c>
      <c r="BQ25" s="9">
        <v>8</v>
      </c>
      <c r="BR25" s="9">
        <v>26</v>
      </c>
      <c r="BS25" s="9">
        <v>35</v>
      </c>
      <c r="BT25" s="9">
        <v>51</v>
      </c>
      <c r="BU25" s="9">
        <v>53</v>
      </c>
    </row>
  </sheetData>
  <sheetProtection algorithmName="SHA-512" hashValue="qVXsxwZx6IgocLsBkv0+6eZ4lO005s7KqqAKUY5b0ebHxh8CLOtHAF0nR485KZB7lu1lVKCMvlhYsqtqHJKidg==" saltValue="AQVzWKTyKvRcZLm735Oxcw==" spinCount="100000" sheet="1" objects="1" scenarios="1" selectLockedCells="1" selectUnlockedCells="1"/>
  <mergeCells count="22">
    <mergeCell ref="A13:A15"/>
    <mergeCell ref="B13:AK13"/>
    <mergeCell ref="AL13:BU13"/>
    <mergeCell ref="B14:J14"/>
    <mergeCell ref="K14:S14"/>
    <mergeCell ref="T14:AB14"/>
    <mergeCell ref="AC14:AK14"/>
    <mergeCell ref="AL14:AT14"/>
    <mergeCell ref="AU14:BC14"/>
    <mergeCell ref="BD14:BL14"/>
    <mergeCell ref="BM14:BU14"/>
    <mergeCell ref="A21:A23"/>
    <mergeCell ref="B21:AK21"/>
    <mergeCell ref="AL21:BU21"/>
    <mergeCell ref="B22:J22"/>
    <mergeCell ref="K22:S22"/>
    <mergeCell ref="T22:AB22"/>
    <mergeCell ref="AC22:AK22"/>
    <mergeCell ref="AL22:AT22"/>
    <mergeCell ref="AU22:BC22"/>
    <mergeCell ref="BD22:BL22"/>
    <mergeCell ref="BM22:BU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0"/>
  <sheetViews>
    <sheetView topLeftCell="A4" workbookViewId="0">
      <selection activeCell="H7" sqref="H7"/>
    </sheetView>
  </sheetViews>
  <sheetFormatPr defaultRowHeight="15" x14ac:dyDescent="0.25"/>
  <sheetData>
    <row r="1" spans="1:73" s="4" customFormat="1" ht="18" customHeight="1" x14ac:dyDescent="0.2">
      <c r="A1" s="142" t="s">
        <v>1</v>
      </c>
      <c r="B1" s="145" t="s">
        <v>2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 t="s">
        <v>3</v>
      </c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</row>
    <row r="2" spans="1:73" s="4" customFormat="1" ht="18" customHeight="1" x14ac:dyDescent="0.2">
      <c r="A2" s="143"/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 t="s">
        <v>5</v>
      </c>
      <c r="L2" s="145"/>
      <c r="M2" s="145"/>
      <c r="N2" s="145"/>
      <c r="O2" s="145"/>
      <c r="P2" s="145"/>
      <c r="Q2" s="145"/>
      <c r="R2" s="145"/>
      <c r="S2" s="145"/>
      <c r="T2" s="145" t="s">
        <v>6</v>
      </c>
      <c r="U2" s="145"/>
      <c r="V2" s="145"/>
      <c r="W2" s="145"/>
      <c r="X2" s="145"/>
      <c r="Y2" s="145"/>
      <c r="Z2" s="145"/>
      <c r="AA2" s="145"/>
      <c r="AB2" s="145"/>
      <c r="AC2" s="145" t="s">
        <v>7</v>
      </c>
      <c r="AD2" s="145"/>
      <c r="AE2" s="145"/>
      <c r="AF2" s="145"/>
      <c r="AG2" s="145"/>
      <c r="AH2" s="145"/>
      <c r="AI2" s="145"/>
      <c r="AJ2" s="145"/>
      <c r="AK2" s="145"/>
      <c r="AL2" s="145" t="s">
        <v>4</v>
      </c>
      <c r="AM2" s="145"/>
      <c r="AN2" s="145"/>
      <c r="AO2" s="145"/>
      <c r="AP2" s="145"/>
      <c r="AQ2" s="145"/>
      <c r="AR2" s="145"/>
      <c r="AS2" s="145"/>
      <c r="AT2" s="145"/>
      <c r="AU2" s="145" t="s">
        <v>5</v>
      </c>
      <c r="AV2" s="145"/>
      <c r="AW2" s="145"/>
      <c r="AX2" s="145"/>
      <c r="AY2" s="145"/>
      <c r="AZ2" s="145"/>
      <c r="BA2" s="145"/>
      <c r="BB2" s="145"/>
      <c r="BC2" s="145"/>
      <c r="BD2" s="145" t="s">
        <v>6</v>
      </c>
      <c r="BE2" s="145"/>
      <c r="BF2" s="145"/>
      <c r="BG2" s="145"/>
      <c r="BH2" s="145"/>
      <c r="BI2" s="145"/>
      <c r="BJ2" s="145"/>
      <c r="BK2" s="145"/>
      <c r="BL2" s="145"/>
      <c r="BM2" s="145" t="s">
        <v>7</v>
      </c>
      <c r="BN2" s="145"/>
      <c r="BO2" s="145"/>
      <c r="BP2" s="145"/>
      <c r="BQ2" s="145"/>
      <c r="BR2" s="145"/>
      <c r="BS2" s="145"/>
      <c r="BT2" s="145"/>
      <c r="BU2" s="145"/>
    </row>
    <row r="3" spans="1:73" s="4" customFormat="1" ht="18" customHeight="1" x14ac:dyDescent="0.2">
      <c r="A3" s="144"/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15</v>
      </c>
      <c r="S3" s="5" t="s">
        <v>16</v>
      </c>
      <c r="T3" s="5" t="s">
        <v>8</v>
      </c>
      <c r="U3" s="5" t="s">
        <v>9</v>
      </c>
      <c r="V3" s="5" t="s">
        <v>10</v>
      </c>
      <c r="W3" s="5" t="s">
        <v>11</v>
      </c>
      <c r="X3" s="5" t="s">
        <v>12</v>
      </c>
      <c r="Y3" s="5" t="s">
        <v>13</v>
      </c>
      <c r="Z3" s="5" t="s">
        <v>14</v>
      </c>
      <c r="AA3" s="5" t="s">
        <v>15</v>
      </c>
      <c r="AB3" s="5" t="s">
        <v>16</v>
      </c>
      <c r="AC3" s="5" t="s">
        <v>8</v>
      </c>
      <c r="AD3" s="5" t="s">
        <v>9</v>
      </c>
      <c r="AE3" s="5" t="s">
        <v>10</v>
      </c>
      <c r="AF3" s="5" t="s">
        <v>11</v>
      </c>
      <c r="AG3" s="5" t="s">
        <v>12</v>
      </c>
      <c r="AH3" s="5" t="s">
        <v>13</v>
      </c>
      <c r="AI3" s="5" t="s">
        <v>14</v>
      </c>
      <c r="AJ3" s="5" t="s">
        <v>15</v>
      </c>
      <c r="AK3" s="5" t="s">
        <v>16</v>
      </c>
      <c r="AL3" s="5" t="s">
        <v>8</v>
      </c>
      <c r="AM3" s="5" t="s">
        <v>9</v>
      </c>
      <c r="AN3" s="5" t="s">
        <v>10</v>
      </c>
      <c r="AO3" s="5" t="s">
        <v>11</v>
      </c>
      <c r="AP3" s="5" t="s">
        <v>12</v>
      </c>
      <c r="AQ3" s="5" t="s">
        <v>13</v>
      </c>
      <c r="AR3" s="5" t="s">
        <v>14</v>
      </c>
      <c r="AS3" s="5" t="s">
        <v>15</v>
      </c>
      <c r="AT3" s="5" t="s">
        <v>16</v>
      </c>
      <c r="AU3" s="5" t="s">
        <v>8</v>
      </c>
      <c r="AV3" s="5" t="s">
        <v>9</v>
      </c>
      <c r="AW3" s="5" t="s">
        <v>10</v>
      </c>
      <c r="AX3" s="5" t="s">
        <v>11</v>
      </c>
      <c r="AY3" s="5" t="s">
        <v>12</v>
      </c>
      <c r="AZ3" s="5" t="s">
        <v>13</v>
      </c>
      <c r="BA3" s="5" t="s">
        <v>14</v>
      </c>
      <c r="BB3" s="5" t="s">
        <v>15</v>
      </c>
      <c r="BC3" s="5" t="s">
        <v>16</v>
      </c>
      <c r="BD3" s="5" t="s">
        <v>8</v>
      </c>
      <c r="BE3" s="5" t="s">
        <v>9</v>
      </c>
      <c r="BF3" s="5" t="s">
        <v>10</v>
      </c>
      <c r="BG3" s="5" t="s">
        <v>11</v>
      </c>
      <c r="BH3" s="5" t="s">
        <v>12</v>
      </c>
      <c r="BI3" s="5" t="s">
        <v>13</v>
      </c>
      <c r="BJ3" s="5" t="s">
        <v>14</v>
      </c>
      <c r="BK3" s="5" t="s">
        <v>15</v>
      </c>
      <c r="BL3" s="5" t="s">
        <v>16</v>
      </c>
      <c r="BM3" s="5" t="s">
        <v>8</v>
      </c>
      <c r="BN3" s="5" t="s">
        <v>9</v>
      </c>
      <c r="BO3" s="5" t="s">
        <v>10</v>
      </c>
      <c r="BP3" s="5" t="s">
        <v>11</v>
      </c>
      <c r="BQ3" s="5" t="s">
        <v>12</v>
      </c>
      <c r="BR3" s="5" t="s">
        <v>13</v>
      </c>
      <c r="BS3" s="5" t="s">
        <v>14</v>
      </c>
      <c r="BT3" s="5" t="s">
        <v>15</v>
      </c>
      <c r="BU3" s="5" t="s">
        <v>16</v>
      </c>
    </row>
    <row r="4" spans="1:73" s="8" customFormat="1" ht="24" customHeight="1" x14ac:dyDescent="0.25">
      <c r="A4" s="6" t="s">
        <v>17</v>
      </c>
      <c r="B4" s="7">
        <v>330</v>
      </c>
      <c r="C4" s="7">
        <v>451</v>
      </c>
      <c r="D4" s="7">
        <v>174</v>
      </c>
      <c r="E4" s="7">
        <v>176</v>
      </c>
      <c r="F4" s="7">
        <v>123</v>
      </c>
      <c r="G4" s="7">
        <v>192</v>
      </c>
      <c r="H4" s="7">
        <v>275</v>
      </c>
      <c r="I4" s="7">
        <v>227</v>
      </c>
      <c r="J4" s="7">
        <v>63</v>
      </c>
      <c r="K4" s="7">
        <v>201</v>
      </c>
      <c r="L4" s="7">
        <v>541</v>
      </c>
      <c r="M4" s="7">
        <v>180</v>
      </c>
      <c r="N4" s="7">
        <v>162</v>
      </c>
      <c r="O4" s="7">
        <v>153</v>
      </c>
      <c r="P4" s="7">
        <v>163</v>
      </c>
      <c r="Q4" s="7">
        <v>231</v>
      </c>
      <c r="R4" s="7">
        <v>220</v>
      </c>
      <c r="S4" s="7">
        <v>64</v>
      </c>
      <c r="T4" s="7">
        <v>161</v>
      </c>
      <c r="U4" s="7">
        <v>435</v>
      </c>
      <c r="V4" s="7">
        <v>99</v>
      </c>
      <c r="W4" s="7">
        <v>86</v>
      </c>
      <c r="X4" s="7">
        <v>96</v>
      </c>
      <c r="Y4" s="7">
        <v>111</v>
      </c>
      <c r="Z4" s="7">
        <v>153</v>
      </c>
      <c r="AA4" s="7">
        <v>115</v>
      </c>
      <c r="AB4" s="7">
        <v>67</v>
      </c>
      <c r="AC4" s="7">
        <v>177</v>
      </c>
      <c r="AD4" s="7">
        <v>346</v>
      </c>
      <c r="AE4" s="7">
        <v>29</v>
      </c>
      <c r="AF4" s="7">
        <v>54</v>
      </c>
      <c r="AG4" s="7">
        <v>55</v>
      </c>
      <c r="AH4" s="7">
        <v>66</v>
      </c>
      <c r="AI4" s="7">
        <v>71</v>
      </c>
      <c r="AJ4" s="7">
        <v>43</v>
      </c>
      <c r="AK4" s="7">
        <v>24</v>
      </c>
      <c r="AL4" s="7">
        <v>231</v>
      </c>
      <c r="AM4" s="7">
        <v>416</v>
      </c>
      <c r="AN4" s="7">
        <v>196</v>
      </c>
      <c r="AO4" s="7">
        <v>232</v>
      </c>
      <c r="AP4" s="7">
        <v>320</v>
      </c>
      <c r="AQ4" s="7">
        <v>626</v>
      </c>
      <c r="AR4" s="7">
        <v>988</v>
      </c>
      <c r="AS4" s="7">
        <v>816</v>
      </c>
      <c r="AT4" s="7">
        <v>217</v>
      </c>
      <c r="AU4" s="7">
        <v>99</v>
      </c>
      <c r="AV4" s="7">
        <v>397</v>
      </c>
      <c r="AW4" s="7">
        <v>133</v>
      </c>
      <c r="AX4" s="7">
        <v>167</v>
      </c>
      <c r="AY4" s="7">
        <v>226</v>
      </c>
      <c r="AZ4" s="7">
        <v>452</v>
      </c>
      <c r="BA4" s="7">
        <v>785</v>
      </c>
      <c r="BB4" s="7">
        <v>736</v>
      </c>
      <c r="BC4" s="7">
        <v>315</v>
      </c>
      <c r="BD4" s="7">
        <v>106</v>
      </c>
      <c r="BE4" s="7">
        <v>303</v>
      </c>
      <c r="BF4" s="7">
        <v>72</v>
      </c>
      <c r="BG4" s="7">
        <v>95</v>
      </c>
      <c r="BH4" s="7">
        <v>118</v>
      </c>
      <c r="BI4" s="7">
        <v>240</v>
      </c>
      <c r="BJ4" s="7">
        <v>405</v>
      </c>
      <c r="BK4" s="7">
        <v>463</v>
      </c>
      <c r="BL4" s="7">
        <v>232</v>
      </c>
      <c r="BM4" s="7">
        <v>123</v>
      </c>
      <c r="BN4" s="7">
        <v>186</v>
      </c>
      <c r="BO4" s="7">
        <v>32</v>
      </c>
      <c r="BP4" s="7">
        <v>51</v>
      </c>
      <c r="BQ4" s="7">
        <v>67</v>
      </c>
      <c r="BR4" s="7">
        <v>102</v>
      </c>
      <c r="BS4" s="7">
        <v>232</v>
      </c>
      <c r="BT4" s="7">
        <v>286</v>
      </c>
      <c r="BU4" s="7">
        <v>185</v>
      </c>
    </row>
    <row r="5" spans="1:73" s="8" customFormat="1" ht="24" customHeight="1" x14ac:dyDescent="0.25">
      <c r="A5" s="6" t="s">
        <v>18</v>
      </c>
      <c r="B5" s="7">
        <v>436</v>
      </c>
      <c r="C5" s="7">
        <v>469</v>
      </c>
      <c r="D5" s="7">
        <v>140</v>
      </c>
      <c r="E5" s="7">
        <v>189</v>
      </c>
      <c r="F5" s="7">
        <v>184</v>
      </c>
      <c r="G5" s="7">
        <v>183</v>
      </c>
      <c r="H5" s="7">
        <v>198</v>
      </c>
      <c r="I5" s="7">
        <v>164</v>
      </c>
      <c r="J5" s="7">
        <v>80</v>
      </c>
      <c r="K5" s="9">
        <v>370</v>
      </c>
      <c r="L5" s="9">
        <v>605</v>
      </c>
      <c r="M5" s="9">
        <v>179</v>
      </c>
      <c r="N5" s="9">
        <v>256</v>
      </c>
      <c r="O5" s="9">
        <v>266</v>
      </c>
      <c r="P5" s="9">
        <v>208</v>
      </c>
      <c r="Q5" s="9">
        <v>267</v>
      </c>
      <c r="R5" s="9">
        <v>267</v>
      </c>
      <c r="S5" s="9">
        <v>143</v>
      </c>
      <c r="T5" s="9">
        <v>215</v>
      </c>
      <c r="U5" s="9">
        <v>527</v>
      </c>
      <c r="V5" s="9">
        <v>131</v>
      </c>
      <c r="W5" s="9">
        <v>166</v>
      </c>
      <c r="X5" s="9">
        <v>240</v>
      </c>
      <c r="Y5" s="9">
        <v>196</v>
      </c>
      <c r="Z5" s="9">
        <v>220</v>
      </c>
      <c r="AA5" s="9">
        <v>217</v>
      </c>
      <c r="AB5" s="9">
        <v>125</v>
      </c>
      <c r="AC5" s="9">
        <v>154</v>
      </c>
      <c r="AD5" s="9">
        <v>396</v>
      </c>
      <c r="AE5" s="9">
        <v>64</v>
      </c>
      <c r="AF5" s="9">
        <v>73</v>
      </c>
      <c r="AG5" s="9">
        <v>76</v>
      </c>
      <c r="AH5" s="9">
        <v>81</v>
      </c>
      <c r="AI5" s="9">
        <v>92</v>
      </c>
      <c r="AJ5" s="9">
        <v>90</v>
      </c>
      <c r="AK5" s="9">
        <v>52</v>
      </c>
      <c r="AL5" s="9">
        <v>302</v>
      </c>
      <c r="AM5" s="9">
        <v>408</v>
      </c>
      <c r="AN5" s="9">
        <v>139</v>
      </c>
      <c r="AO5" s="9">
        <v>214</v>
      </c>
      <c r="AP5" s="9">
        <v>313</v>
      </c>
      <c r="AQ5" s="9">
        <v>483</v>
      </c>
      <c r="AR5" s="9">
        <v>715</v>
      </c>
      <c r="AS5" s="9">
        <v>625</v>
      </c>
      <c r="AT5" s="9">
        <v>247</v>
      </c>
      <c r="AU5" s="9">
        <v>194</v>
      </c>
      <c r="AV5" s="9">
        <v>455</v>
      </c>
      <c r="AW5" s="9">
        <v>160</v>
      </c>
      <c r="AX5" s="9">
        <v>249</v>
      </c>
      <c r="AY5" s="9">
        <v>353</v>
      </c>
      <c r="AZ5" s="9">
        <v>506</v>
      </c>
      <c r="BA5" s="9">
        <v>761</v>
      </c>
      <c r="BB5" s="9">
        <v>897</v>
      </c>
      <c r="BC5" s="9">
        <v>461</v>
      </c>
      <c r="BD5" s="9">
        <v>94</v>
      </c>
      <c r="BE5" s="9">
        <v>350</v>
      </c>
      <c r="BF5" s="9">
        <v>96</v>
      </c>
      <c r="BG5" s="9">
        <v>150</v>
      </c>
      <c r="BH5" s="9">
        <v>235</v>
      </c>
      <c r="BI5" s="9">
        <v>297</v>
      </c>
      <c r="BJ5" s="9">
        <v>501</v>
      </c>
      <c r="BK5" s="9">
        <v>692</v>
      </c>
      <c r="BL5" s="9">
        <v>480</v>
      </c>
      <c r="BM5" s="9">
        <v>90</v>
      </c>
      <c r="BN5" s="9">
        <v>258</v>
      </c>
      <c r="BO5" s="9">
        <v>45</v>
      </c>
      <c r="BP5" s="9">
        <v>53</v>
      </c>
      <c r="BQ5" s="9">
        <v>82</v>
      </c>
      <c r="BR5" s="9">
        <v>117</v>
      </c>
      <c r="BS5" s="9">
        <v>241</v>
      </c>
      <c r="BT5" s="9">
        <v>352</v>
      </c>
      <c r="BU5" s="9">
        <v>361</v>
      </c>
    </row>
    <row r="8" spans="1:73" x14ac:dyDescent="0.25">
      <c r="A8" s="12" t="s">
        <v>26</v>
      </c>
      <c r="B8" s="13" t="s">
        <v>8</v>
      </c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</row>
    <row r="9" spans="1:73" x14ac:dyDescent="0.25">
      <c r="A9" t="s">
        <v>22</v>
      </c>
      <c r="B9" s="13">
        <v>330</v>
      </c>
      <c r="C9" s="13">
        <v>451</v>
      </c>
      <c r="D9" s="13">
        <v>174</v>
      </c>
      <c r="E9" s="13">
        <v>176</v>
      </c>
      <c r="F9" s="13">
        <v>123</v>
      </c>
      <c r="G9" s="13">
        <v>192</v>
      </c>
      <c r="H9" s="13">
        <v>275</v>
      </c>
      <c r="I9" s="13">
        <v>227</v>
      </c>
      <c r="J9" s="13">
        <v>63</v>
      </c>
    </row>
    <row r="10" spans="1:73" x14ac:dyDescent="0.25">
      <c r="A10" t="s">
        <v>23</v>
      </c>
      <c r="B10" s="13">
        <v>201</v>
      </c>
      <c r="C10" s="13">
        <v>541</v>
      </c>
      <c r="D10" s="13">
        <v>180</v>
      </c>
      <c r="E10" s="13">
        <v>162</v>
      </c>
      <c r="F10" s="13">
        <v>153</v>
      </c>
      <c r="G10" s="13">
        <v>163</v>
      </c>
      <c r="H10" s="13">
        <v>231</v>
      </c>
      <c r="I10" s="13">
        <v>220</v>
      </c>
      <c r="J10" s="13">
        <v>64</v>
      </c>
    </row>
    <row r="11" spans="1:73" x14ac:dyDescent="0.25">
      <c r="A11" t="s">
        <v>24</v>
      </c>
      <c r="B11" s="13">
        <v>161</v>
      </c>
      <c r="C11" s="13">
        <v>435</v>
      </c>
      <c r="D11" s="13">
        <v>99</v>
      </c>
      <c r="E11" s="13">
        <v>86</v>
      </c>
      <c r="F11" s="13">
        <v>96</v>
      </c>
      <c r="G11" s="13">
        <v>111</v>
      </c>
      <c r="H11" s="13">
        <v>153</v>
      </c>
      <c r="I11" s="13">
        <v>115</v>
      </c>
      <c r="J11" s="13">
        <v>67</v>
      </c>
    </row>
    <row r="12" spans="1:73" x14ac:dyDescent="0.25">
      <c r="A12" t="s">
        <v>25</v>
      </c>
      <c r="B12" s="13">
        <v>177</v>
      </c>
      <c r="C12" s="13">
        <v>346</v>
      </c>
      <c r="D12" s="13">
        <v>29</v>
      </c>
      <c r="E12" s="13">
        <v>54</v>
      </c>
      <c r="F12" s="13">
        <v>55</v>
      </c>
      <c r="G12" s="13">
        <v>66</v>
      </c>
      <c r="H12" s="13">
        <v>71</v>
      </c>
      <c r="I12" s="13">
        <v>43</v>
      </c>
      <c r="J12" s="13">
        <v>24</v>
      </c>
    </row>
    <row r="13" spans="1:73" x14ac:dyDescent="0.25">
      <c r="B13" s="13"/>
      <c r="C13" s="13"/>
      <c r="D13" s="13"/>
      <c r="E13" s="13"/>
      <c r="F13" s="13"/>
      <c r="G13" s="13"/>
      <c r="H13" s="13"/>
      <c r="I13" s="13"/>
      <c r="J13" s="13"/>
    </row>
    <row r="14" spans="1:73" x14ac:dyDescent="0.25">
      <c r="A14" t="s">
        <v>27</v>
      </c>
      <c r="B14" s="13" t="s">
        <v>8</v>
      </c>
      <c r="C14" s="13" t="s">
        <v>9</v>
      </c>
      <c r="D14" s="13" t="s">
        <v>10</v>
      </c>
      <c r="E14" s="13" t="s">
        <v>11</v>
      </c>
      <c r="F14" s="13" t="s">
        <v>12</v>
      </c>
      <c r="G14" s="13" t="s">
        <v>13</v>
      </c>
      <c r="H14" s="13" t="s">
        <v>14</v>
      </c>
      <c r="I14" s="13" t="s">
        <v>15</v>
      </c>
      <c r="J14" s="13" t="s">
        <v>16</v>
      </c>
    </row>
    <row r="15" spans="1:73" x14ac:dyDescent="0.25">
      <c r="A15" t="s">
        <v>22</v>
      </c>
      <c r="B15" s="13">
        <v>231</v>
      </c>
      <c r="C15" s="13">
        <v>416</v>
      </c>
      <c r="D15" s="13">
        <v>196</v>
      </c>
      <c r="E15" s="13">
        <v>232</v>
      </c>
      <c r="F15" s="13">
        <v>320</v>
      </c>
      <c r="G15" s="13">
        <v>626</v>
      </c>
      <c r="H15" s="13">
        <v>988</v>
      </c>
      <c r="I15" s="13">
        <v>816</v>
      </c>
      <c r="J15" s="13">
        <v>217</v>
      </c>
    </row>
    <row r="16" spans="1:73" x14ac:dyDescent="0.25">
      <c r="A16" t="s">
        <v>23</v>
      </c>
      <c r="B16" s="13">
        <v>99</v>
      </c>
      <c r="C16" s="13">
        <v>397</v>
      </c>
      <c r="D16" s="13">
        <v>133</v>
      </c>
      <c r="E16" s="13">
        <v>167</v>
      </c>
      <c r="F16" s="13">
        <v>226</v>
      </c>
      <c r="G16" s="13">
        <v>452</v>
      </c>
      <c r="H16" s="13">
        <v>785</v>
      </c>
      <c r="I16" s="13">
        <v>736</v>
      </c>
      <c r="J16" s="13">
        <v>315</v>
      </c>
    </row>
    <row r="17" spans="1:10" x14ac:dyDescent="0.25">
      <c r="A17" t="s">
        <v>24</v>
      </c>
      <c r="B17" s="13">
        <v>106</v>
      </c>
      <c r="C17" s="13">
        <v>303</v>
      </c>
      <c r="D17" s="13">
        <v>72</v>
      </c>
      <c r="E17" s="13">
        <v>95</v>
      </c>
      <c r="F17" s="13">
        <v>118</v>
      </c>
      <c r="G17" s="13">
        <v>240</v>
      </c>
      <c r="H17" s="13">
        <v>405</v>
      </c>
      <c r="I17" s="13">
        <v>463</v>
      </c>
      <c r="J17" s="13">
        <v>232</v>
      </c>
    </row>
    <row r="18" spans="1:10" x14ac:dyDescent="0.25">
      <c r="A18" t="s">
        <v>25</v>
      </c>
      <c r="B18" s="13">
        <v>123</v>
      </c>
      <c r="C18" s="13">
        <v>186</v>
      </c>
      <c r="D18" s="13">
        <v>32</v>
      </c>
      <c r="E18" s="13">
        <v>51</v>
      </c>
      <c r="F18" s="13">
        <v>67</v>
      </c>
      <c r="G18" s="13">
        <v>102</v>
      </c>
      <c r="H18" s="13">
        <v>232</v>
      </c>
      <c r="I18" s="13">
        <v>286</v>
      </c>
      <c r="J18" s="13">
        <v>185</v>
      </c>
    </row>
    <row r="19" spans="1:10" x14ac:dyDescent="0.25"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25">
      <c r="A20" t="s">
        <v>28</v>
      </c>
      <c r="B20" s="13" t="s">
        <v>8</v>
      </c>
      <c r="C20" s="13" t="s">
        <v>9</v>
      </c>
      <c r="D20" s="13" t="s">
        <v>10</v>
      </c>
      <c r="E20" s="13" t="s">
        <v>11</v>
      </c>
      <c r="F20" s="13" t="s">
        <v>12</v>
      </c>
      <c r="G20" s="13" t="s">
        <v>13</v>
      </c>
      <c r="H20" s="13" t="s">
        <v>14</v>
      </c>
      <c r="I20" s="13" t="s">
        <v>15</v>
      </c>
      <c r="J20" s="13" t="s">
        <v>16</v>
      </c>
    </row>
    <row r="21" spans="1:10" x14ac:dyDescent="0.25">
      <c r="A21" t="s">
        <v>22</v>
      </c>
      <c r="B21" s="13">
        <v>436</v>
      </c>
      <c r="C21" s="13">
        <v>469</v>
      </c>
      <c r="D21" s="13">
        <v>140</v>
      </c>
      <c r="E21" s="13">
        <v>189</v>
      </c>
      <c r="F21" s="13">
        <v>184</v>
      </c>
      <c r="G21" s="13">
        <v>183</v>
      </c>
      <c r="H21" s="13">
        <v>198</v>
      </c>
      <c r="I21" s="13">
        <v>164</v>
      </c>
      <c r="J21" s="13">
        <v>80</v>
      </c>
    </row>
    <row r="22" spans="1:10" x14ac:dyDescent="0.25">
      <c r="A22" t="s">
        <v>23</v>
      </c>
      <c r="B22" s="13">
        <v>370</v>
      </c>
      <c r="C22" s="13">
        <v>605</v>
      </c>
      <c r="D22" s="13">
        <v>179</v>
      </c>
      <c r="E22" s="13">
        <v>256</v>
      </c>
      <c r="F22" s="13">
        <v>266</v>
      </c>
      <c r="G22" s="13">
        <v>208</v>
      </c>
      <c r="H22" s="13">
        <v>267</v>
      </c>
      <c r="I22" s="13">
        <v>267</v>
      </c>
      <c r="J22" s="13">
        <v>143</v>
      </c>
    </row>
    <row r="23" spans="1:10" x14ac:dyDescent="0.25">
      <c r="A23" t="s">
        <v>24</v>
      </c>
      <c r="B23" s="13">
        <v>215</v>
      </c>
      <c r="C23" s="13">
        <v>527</v>
      </c>
      <c r="D23" s="13">
        <v>131</v>
      </c>
      <c r="E23" s="13">
        <v>166</v>
      </c>
      <c r="F23" s="13">
        <v>240</v>
      </c>
      <c r="G23" s="13">
        <v>196</v>
      </c>
      <c r="H23" s="13">
        <v>220</v>
      </c>
      <c r="I23" s="13">
        <v>217</v>
      </c>
      <c r="J23" s="13">
        <v>125</v>
      </c>
    </row>
    <row r="24" spans="1:10" x14ac:dyDescent="0.25">
      <c r="A24" t="s">
        <v>25</v>
      </c>
      <c r="B24" s="13">
        <v>154</v>
      </c>
      <c r="C24" s="13">
        <v>396</v>
      </c>
      <c r="D24" s="13">
        <v>64</v>
      </c>
      <c r="E24" s="13">
        <v>73</v>
      </c>
      <c r="F24" s="13">
        <v>76</v>
      </c>
      <c r="G24" s="13">
        <v>81</v>
      </c>
      <c r="H24" s="13">
        <v>92</v>
      </c>
      <c r="I24" s="13">
        <v>90</v>
      </c>
      <c r="J24" s="13">
        <v>52</v>
      </c>
    </row>
    <row r="25" spans="1:10" x14ac:dyDescent="0.25">
      <c r="B25" s="13"/>
      <c r="C25" s="13"/>
      <c r="D25" s="13"/>
      <c r="E25" s="13"/>
      <c r="F25" s="13"/>
      <c r="G25" s="13"/>
      <c r="H25" s="13"/>
      <c r="I25" s="13"/>
      <c r="J25" s="13"/>
    </row>
    <row r="26" spans="1:10" x14ac:dyDescent="0.25">
      <c r="A26" t="s">
        <v>29</v>
      </c>
      <c r="B26" s="13" t="s">
        <v>8</v>
      </c>
      <c r="C26" s="13" t="s">
        <v>9</v>
      </c>
      <c r="D26" s="13" t="s">
        <v>10</v>
      </c>
      <c r="E26" s="13" t="s">
        <v>11</v>
      </c>
      <c r="F26" s="13" t="s">
        <v>12</v>
      </c>
      <c r="G26" s="13" t="s">
        <v>13</v>
      </c>
      <c r="H26" s="13" t="s">
        <v>14</v>
      </c>
      <c r="I26" s="13" t="s">
        <v>15</v>
      </c>
      <c r="J26" s="13" t="s">
        <v>16</v>
      </c>
    </row>
    <row r="27" spans="1:10" x14ac:dyDescent="0.25">
      <c r="A27" t="s">
        <v>22</v>
      </c>
      <c r="B27" s="13">
        <v>302</v>
      </c>
      <c r="C27" s="13">
        <v>408</v>
      </c>
      <c r="D27" s="13">
        <v>139</v>
      </c>
      <c r="E27" s="13">
        <v>214</v>
      </c>
      <c r="F27" s="13">
        <v>313</v>
      </c>
      <c r="G27" s="13">
        <v>483</v>
      </c>
      <c r="H27" s="13">
        <v>715</v>
      </c>
      <c r="I27" s="13">
        <v>625</v>
      </c>
      <c r="J27" s="13">
        <v>247</v>
      </c>
    </row>
    <row r="28" spans="1:10" x14ac:dyDescent="0.25">
      <c r="A28" t="s">
        <v>23</v>
      </c>
      <c r="B28" s="13">
        <v>194</v>
      </c>
      <c r="C28" s="13">
        <v>455</v>
      </c>
      <c r="D28" s="13">
        <v>160</v>
      </c>
      <c r="E28" s="13">
        <v>249</v>
      </c>
      <c r="F28" s="13">
        <v>353</v>
      </c>
      <c r="G28" s="13">
        <v>506</v>
      </c>
      <c r="H28" s="13">
        <v>761</v>
      </c>
      <c r="I28" s="13">
        <v>897</v>
      </c>
      <c r="J28" s="13">
        <v>461</v>
      </c>
    </row>
    <row r="29" spans="1:10" x14ac:dyDescent="0.25">
      <c r="A29" t="s">
        <v>24</v>
      </c>
      <c r="B29" s="13">
        <v>94</v>
      </c>
      <c r="C29" s="13">
        <v>350</v>
      </c>
      <c r="D29" s="13">
        <v>96</v>
      </c>
      <c r="E29" s="13">
        <v>150</v>
      </c>
      <c r="F29" s="13">
        <v>235</v>
      </c>
      <c r="G29" s="13">
        <v>297</v>
      </c>
      <c r="H29" s="13">
        <v>501</v>
      </c>
      <c r="I29" s="13">
        <v>692</v>
      </c>
      <c r="J29" s="13">
        <v>480</v>
      </c>
    </row>
    <row r="30" spans="1:10" x14ac:dyDescent="0.25">
      <c r="A30" t="s">
        <v>25</v>
      </c>
      <c r="B30" s="13">
        <v>90</v>
      </c>
      <c r="C30" s="13">
        <v>258</v>
      </c>
      <c r="D30" s="13">
        <v>45</v>
      </c>
      <c r="E30" s="13">
        <v>53</v>
      </c>
      <c r="F30" s="13">
        <v>82</v>
      </c>
      <c r="G30" s="13">
        <v>117</v>
      </c>
      <c r="H30" s="13">
        <v>241</v>
      </c>
      <c r="I30" s="13">
        <v>352</v>
      </c>
      <c r="J30" s="13">
        <v>361</v>
      </c>
    </row>
  </sheetData>
  <sheetProtection algorithmName="SHA-512" hashValue="SSCivUs4ChYSeIQpbj6te7p6ETtjXcVEitIGhos9xV42W1yfWnldQ+sMAWHkWAZMpcVnZeOg/H6NHz3h8zL9Yw==" saltValue="XQWia9hHvUQVd+cnhnpVMw==" spinCount="100000" sheet="1" objects="1" scenarios="1" selectLockedCells="1" selectUnlockedCells="1"/>
  <mergeCells count="11">
    <mergeCell ref="A1:A3"/>
    <mergeCell ref="B1:AK1"/>
    <mergeCell ref="AL1:BU1"/>
    <mergeCell ref="B2:J2"/>
    <mergeCell ref="K2:S2"/>
    <mergeCell ref="BM2:BU2"/>
    <mergeCell ref="T2:AB2"/>
    <mergeCell ref="AC2:AK2"/>
    <mergeCell ref="AL2:AT2"/>
    <mergeCell ref="AU2:BC2"/>
    <mergeCell ref="BD2:BL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45"/>
  <sheetViews>
    <sheetView topLeftCell="A25" zoomScale="70" zoomScaleNormal="70" workbookViewId="0">
      <selection activeCell="H7" sqref="H7"/>
    </sheetView>
  </sheetViews>
  <sheetFormatPr defaultRowHeight="15" x14ac:dyDescent="0.25"/>
  <cols>
    <col min="1" max="1" width="12.85546875" customWidth="1"/>
    <col min="2" max="2" width="25.5703125" customWidth="1"/>
    <col min="8" max="8" width="10.5703125" customWidth="1"/>
    <col min="10" max="10" width="10.140625" bestFit="1" customWidth="1"/>
    <col min="11" max="11" width="8.85546875" style="13"/>
    <col min="43" max="43" width="9.140625" customWidth="1"/>
  </cols>
  <sheetData>
    <row r="1" spans="1:125" x14ac:dyDescent="0.25">
      <c r="B1" s="146" t="s">
        <v>55</v>
      </c>
      <c r="C1" s="146"/>
      <c r="D1" s="146"/>
      <c r="E1" s="146"/>
      <c r="F1" s="146"/>
      <c r="G1" s="146"/>
      <c r="H1" s="146"/>
      <c r="I1" s="146"/>
      <c r="J1" s="146"/>
      <c r="K1" s="146"/>
      <c r="L1" s="146" t="s">
        <v>56</v>
      </c>
      <c r="M1" s="146"/>
      <c r="N1" s="146"/>
      <c r="O1" s="146"/>
      <c r="P1" s="146"/>
      <c r="Q1" s="146"/>
      <c r="R1" s="146"/>
      <c r="S1" s="146"/>
      <c r="T1" s="146"/>
      <c r="U1" s="146" t="s">
        <v>58</v>
      </c>
      <c r="V1" s="146"/>
      <c r="W1" s="146"/>
      <c r="X1" s="146"/>
      <c r="Y1" s="146"/>
      <c r="Z1" s="146"/>
      <c r="AA1" s="146"/>
      <c r="AB1" s="146"/>
      <c r="AC1" s="146"/>
    </row>
    <row r="2" spans="1:125" x14ac:dyDescent="0.25">
      <c r="A2" t="s">
        <v>26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61</v>
      </c>
      <c r="L2" s="13" t="s">
        <v>8</v>
      </c>
      <c r="M2" s="13" t="s">
        <v>9</v>
      </c>
      <c r="N2" s="13" t="s">
        <v>10</v>
      </c>
      <c r="O2" s="13" t="s">
        <v>11</v>
      </c>
      <c r="P2" s="13" t="s">
        <v>12</v>
      </c>
      <c r="Q2" s="13" t="s">
        <v>13</v>
      </c>
      <c r="R2" s="13" t="s">
        <v>14</v>
      </c>
      <c r="S2" s="13" t="s">
        <v>15</v>
      </c>
      <c r="T2" s="13" t="s">
        <v>16</v>
      </c>
      <c r="U2" s="13" t="s">
        <v>8</v>
      </c>
      <c r="V2" s="13" t="s">
        <v>9</v>
      </c>
      <c r="W2" s="13" t="s">
        <v>10</v>
      </c>
      <c r="X2" s="13" t="s">
        <v>11</v>
      </c>
      <c r="Y2" s="13" t="s">
        <v>12</v>
      </c>
      <c r="Z2" s="13" t="s">
        <v>13</v>
      </c>
      <c r="AA2" s="13" t="s">
        <v>14</v>
      </c>
      <c r="AB2" s="13" t="s">
        <v>15</v>
      </c>
      <c r="AC2" s="13" t="s">
        <v>16</v>
      </c>
    </row>
    <row r="3" spans="1:125" x14ac:dyDescent="0.25">
      <c r="A3" t="s">
        <v>22</v>
      </c>
      <c r="B3" s="13">
        <v>330</v>
      </c>
      <c r="C3" s="13">
        <v>451</v>
      </c>
      <c r="D3" s="13">
        <v>174</v>
      </c>
      <c r="E3" s="13">
        <v>176</v>
      </c>
      <c r="F3" s="13">
        <v>123</v>
      </c>
      <c r="G3" s="13">
        <v>192</v>
      </c>
      <c r="H3" s="13">
        <v>275</v>
      </c>
      <c r="I3" s="13">
        <v>227</v>
      </c>
      <c r="J3" s="13">
        <v>63</v>
      </c>
      <c r="K3" s="14">
        <f>SUM(B3:J3)</f>
        <v>2011</v>
      </c>
      <c r="L3" s="14">
        <v>48423.6</v>
      </c>
      <c r="M3" s="14">
        <v>154384.4</v>
      </c>
      <c r="N3" s="14">
        <v>17440</v>
      </c>
      <c r="O3" s="14">
        <v>13186</v>
      </c>
      <c r="P3" s="14">
        <v>8501</v>
      </c>
      <c r="Q3" s="14">
        <v>6309</v>
      </c>
      <c r="R3" s="14">
        <v>4367</v>
      </c>
      <c r="S3" s="14">
        <v>1933</v>
      </c>
      <c r="T3" s="14">
        <v>417</v>
      </c>
      <c r="U3">
        <f t="shared" ref="U3:AC3" si="0">(B3/L3)*100</f>
        <v>0.6814858870468119</v>
      </c>
      <c r="V3">
        <f t="shared" si="0"/>
        <v>0.2921279611152422</v>
      </c>
      <c r="W3">
        <f t="shared" si="0"/>
        <v>0.99770642201834869</v>
      </c>
      <c r="X3">
        <f t="shared" si="0"/>
        <v>1.3347489761868649</v>
      </c>
      <c r="Y3">
        <f t="shared" si="0"/>
        <v>1.4468886013410187</v>
      </c>
      <c r="Z3">
        <f t="shared" si="0"/>
        <v>3.0432715168806466</v>
      </c>
      <c r="AA3">
        <f t="shared" si="0"/>
        <v>6.2972292191435768</v>
      </c>
      <c r="AB3">
        <f t="shared" si="0"/>
        <v>11.743404035178479</v>
      </c>
      <c r="AC3">
        <f t="shared" si="0"/>
        <v>15.107913669064748</v>
      </c>
    </row>
    <row r="4" spans="1:125" x14ac:dyDescent="0.25">
      <c r="A4" t="s">
        <v>23</v>
      </c>
      <c r="B4" s="13">
        <v>201</v>
      </c>
      <c r="C4" s="13">
        <v>541</v>
      </c>
      <c r="D4" s="13">
        <v>180</v>
      </c>
      <c r="E4" s="13">
        <v>162</v>
      </c>
      <c r="F4" s="13">
        <v>153</v>
      </c>
      <c r="G4" s="13">
        <v>163</v>
      </c>
      <c r="H4" s="13">
        <v>231</v>
      </c>
      <c r="I4" s="13">
        <v>220</v>
      </c>
      <c r="J4" s="13">
        <v>64</v>
      </c>
      <c r="K4" s="14">
        <f t="shared" ref="K4:K35" si="1">SUM(B4:J4)</f>
        <v>1915</v>
      </c>
      <c r="L4" s="14">
        <v>48423.6</v>
      </c>
      <c r="M4" s="14">
        <v>154384.4</v>
      </c>
      <c r="N4" s="14">
        <v>17440</v>
      </c>
      <c r="O4" s="14">
        <v>13186</v>
      </c>
      <c r="P4" s="14">
        <v>8501</v>
      </c>
      <c r="Q4" s="14">
        <v>6309</v>
      </c>
      <c r="R4" s="14">
        <v>4367</v>
      </c>
      <c r="S4" s="14">
        <v>1933</v>
      </c>
      <c r="T4" s="14">
        <v>417</v>
      </c>
      <c r="U4">
        <f t="shared" ref="U4:U27" si="2">(B4/L4)*100</f>
        <v>0.41508685847396726</v>
      </c>
      <c r="V4">
        <f t="shared" ref="V4:AC6" si="3">(C4/M4)*100</f>
        <v>0.35042400657061207</v>
      </c>
      <c r="W4">
        <f t="shared" si="3"/>
        <v>1.0321100917431194</v>
      </c>
      <c r="X4">
        <f t="shared" si="3"/>
        <v>1.2285757621720006</v>
      </c>
      <c r="Y4">
        <f t="shared" si="3"/>
        <v>1.7997882602046817</v>
      </c>
      <c r="Z4">
        <f t="shared" si="3"/>
        <v>2.5836107148517988</v>
      </c>
      <c r="AA4">
        <f t="shared" si="3"/>
        <v>5.2896725440806041</v>
      </c>
      <c r="AB4">
        <f t="shared" si="3"/>
        <v>11.381272633212623</v>
      </c>
      <c r="AC4">
        <f t="shared" si="3"/>
        <v>15.347721822541965</v>
      </c>
    </row>
    <row r="5" spans="1:125" x14ac:dyDescent="0.25">
      <c r="A5" t="s">
        <v>24</v>
      </c>
      <c r="B5" s="13">
        <v>161</v>
      </c>
      <c r="C5" s="13">
        <v>435</v>
      </c>
      <c r="D5" s="13">
        <v>99</v>
      </c>
      <c r="E5" s="13">
        <v>86</v>
      </c>
      <c r="F5" s="13">
        <v>96</v>
      </c>
      <c r="G5" s="13">
        <v>111</v>
      </c>
      <c r="H5" s="13">
        <v>153</v>
      </c>
      <c r="I5" s="13">
        <v>115</v>
      </c>
      <c r="J5" s="13">
        <v>67</v>
      </c>
      <c r="K5" s="14">
        <f t="shared" si="1"/>
        <v>1323</v>
      </c>
      <c r="L5" s="14">
        <v>48423.6</v>
      </c>
      <c r="M5" s="14">
        <v>154384.4</v>
      </c>
      <c r="N5" s="14">
        <v>17440</v>
      </c>
      <c r="O5" s="14">
        <v>13186</v>
      </c>
      <c r="P5" s="14">
        <v>8501</v>
      </c>
      <c r="Q5" s="14">
        <v>6309</v>
      </c>
      <c r="R5" s="14">
        <v>4367</v>
      </c>
      <c r="S5" s="14">
        <v>1933</v>
      </c>
      <c r="T5" s="14">
        <v>417</v>
      </c>
      <c r="U5">
        <f t="shared" si="2"/>
        <v>0.33248250852889916</v>
      </c>
      <c r="V5">
        <f t="shared" si="3"/>
        <v>0.28176421970095422</v>
      </c>
      <c r="W5">
        <f t="shared" si="3"/>
        <v>0.56766055045871566</v>
      </c>
      <c r="X5">
        <f t="shared" si="3"/>
        <v>0.65220688609130895</v>
      </c>
      <c r="Y5">
        <f t="shared" si="3"/>
        <v>1.129278908363722</v>
      </c>
      <c r="Z5">
        <f t="shared" si="3"/>
        <v>1.7593913456966239</v>
      </c>
      <c r="AA5">
        <f t="shared" si="3"/>
        <v>3.5035493473780628</v>
      </c>
      <c r="AB5">
        <f t="shared" si="3"/>
        <v>5.9493016037247806</v>
      </c>
      <c r="AC5">
        <f t="shared" si="3"/>
        <v>16.067146282973621</v>
      </c>
    </row>
    <row r="6" spans="1:125" x14ac:dyDescent="0.25">
      <c r="A6" t="s">
        <v>25</v>
      </c>
      <c r="B6" s="13">
        <v>177</v>
      </c>
      <c r="C6" s="13">
        <v>346</v>
      </c>
      <c r="D6" s="13">
        <v>29</v>
      </c>
      <c r="E6" s="13">
        <v>54</v>
      </c>
      <c r="F6" s="13">
        <v>55</v>
      </c>
      <c r="G6" s="13">
        <v>66</v>
      </c>
      <c r="H6" s="13">
        <v>71</v>
      </c>
      <c r="I6" s="13">
        <v>43</v>
      </c>
      <c r="J6" s="13">
        <v>24</v>
      </c>
      <c r="K6" s="14">
        <f t="shared" si="1"/>
        <v>865</v>
      </c>
      <c r="L6" s="14">
        <v>48423.6</v>
      </c>
      <c r="M6" s="14">
        <v>154384.4</v>
      </c>
      <c r="N6" s="14">
        <v>17440</v>
      </c>
      <c r="O6" s="14">
        <v>13186</v>
      </c>
      <c r="P6" s="14">
        <v>8501</v>
      </c>
      <c r="Q6" s="14">
        <v>6309</v>
      </c>
      <c r="R6" s="14">
        <v>4367</v>
      </c>
      <c r="S6" s="14">
        <v>1933</v>
      </c>
      <c r="T6" s="14">
        <v>417</v>
      </c>
      <c r="U6">
        <f t="shared" si="2"/>
        <v>0.36552424850692639</v>
      </c>
      <c r="V6">
        <f t="shared" si="3"/>
        <v>0.22411590808397741</v>
      </c>
      <c r="W6">
        <f t="shared" si="3"/>
        <v>0.16628440366972477</v>
      </c>
      <c r="X6">
        <f t="shared" si="3"/>
        <v>0.40952525405733348</v>
      </c>
      <c r="Y6">
        <f t="shared" si="3"/>
        <v>0.64698270791671564</v>
      </c>
      <c r="Z6">
        <f t="shared" si="3"/>
        <v>1.0461245839277222</v>
      </c>
      <c r="AA6">
        <f t="shared" si="3"/>
        <v>1.6258300893061597</v>
      </c>
      <c r="AB6">
        <f t="shared" si="3"/>
        <v>2.2245214692188311</v>
      </c>
      <c r="AC6">
        <f t="shared" si="3"/>
        <v>5.755395683453238</v>
      </c>
    </row>
    <row r="7" spans="1:125" x14ac:dyDescent="0.25">
      <c r="A7" t="s">
        <v>61</v>
      </c>
      <c r="B7" s="13">
        <f>SUM(B3:B6)</f>
        <v>869</v>
      </c>
      <c r="C7" s="13">
        <f t="shared" ref="C7:J7" si="4">SUM(C3:C6)</f>
        <v>1773</v>
      </c>
      <c r="D7" s="13">
        <f t="shared" si="4"/>
        <v>482</v>
      </c>
      <c r="E7" s="13">
        <f t="shared" si="4"/>
        <v>478</v>
      </c>
      <c r="F7" s="13">
        <f t="shared" si="4"/>
        <v>427</v>
      </c>
      <c r="G7" s="13">
        <f t="shared" si="4"/>
        <v>532</v>
      </c>
      <c r="H7" s="13">
        <f t="shared" si="4"/>
        <v>730</v>
      </c>
      <c r="I7" s="13">
        <f t="shared" si="4"/>
        <v>605</v>
      </c>
      <c r="J7" s="13">
        <f t="shared" si="4"/>
        <v>218</v>
      </c>
      <c r="K7" s="14">
        <f t="shared" si="1"/>
        <v>6114</v>
      </c>
      <c r="L7" s="14"/>
      <c r="M7" s="14"/>
      <c r="N7" s="14"/>
      <c r="O7" s="14"/>
      <c r="P7" s="14"/>
      <c r="Q7" s="14"/>
      <c r="R7" s="14"/>
      <c r="S7" s="14"/>
      <c r="T7" s="14"/>
    </row>
    <row r="8" spans="1:125" x14ac:dyDescent="0.25">
      <c r="B8" s="13"/>
      <c r="C8" s="13"/>
      <c r="D8" s="13"/>
      <c r="E8" s="13"/>
      <c r="F8" s="13"/>
      <c r="G8" s="13"/>
      <c r="H8" s="13"/>
      <c r="I8" s="13"/>
      <c r="J8" s="13"/>
      <c r="L8" s="13"/>
      <c r="M8" s="13"/>
      <c r="N8" s="13"/>
      <c r="O8" s="13"/>
      <c r="P8" s="13"/>
      <c r="Q8" s="13"/>
      <c r="R8" s="13"/>
      <c r="S8" s="13"/>
      <c r="T8" s="13"/>
    </row>
    <row r="9" spans="1:125" x14ac:dyDescent="0.25">
      <c r="A9" t="s">
        <v>27</v>
      </c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 t="s">
        <v>61</v>
      </c>
      <c r="L9" s="13" t="s">
        <v>8</v>
      </c>
      <c r="M9" s="13" t="s">
        <v>9</v>
      </c>
      <c r="N9" s="13" t="s">
        <v>10</v>
      </c>
      <c r="O9" s="13" t="s">
        <v>11</v>
      </c>
      <c r="P9" s="13" t="s">
        <v>12</v>
      </c>
      <c r="Q9" s="13" t="s">
        <v>13</v>
      </c>
      <c r="R9" s="13" t="s">
        <v>14</v>
      </c>
      <c r="S9" s="13" t="s">
        <v>15</v>
      </c>
      <c r="T9" s="13" t="s">
        <v>16</v>
      </c>
      <c r="U9" s="13" t="s">
        <v>8</v>
      </c>
      <c r="V9" s="13" t="s">
        <v>9</v>
      </c>
      <c r="W9" s="13" t="s">
        <v>10</v>
      </c>
      <c r="X9" s="13" t="s">
        <v>11</v>
      </c>
      <c r="Y9" s="13" t="s">
        <v>12</v>
      </c>
      <c r="Z9" s="13" t="s">
        <v>13</v>
      </c>
      <c r="AA9" s="13" t="s">
        <v>14</v>
      </c>
      <c r="AB9" s="13" t="s">
        <v>15</v>
      </c>
      <c r="AC9" s="13" t="s">
        <v>16</v>
      </c>
    </row>
    <row r="10" spans="1:125" x14ac:dyDescent="0.25">
      <c r="A10" t="s">
        <v>22</v>
      </c>
      <c r="B10" s="13">
        <v>231</v>
      </c>
      <c r="C10" s="13">
        <v>416</v>
      </c>
      <c r="D10" s="13">
        <v>196</v>
      </c>
      <c r="E10" s="13">
        <v>232</v>
      </c>
      <c r="F10" s="13">
        <v>320</v>
      </c>
      <c r="G10" s="13">
        <v>626</v>
      </c>
      <c r="H10" s="13">
        <v>988</v>
      </c>
      <c r="I10" s="13">
        <v>816</v>
      </c>
      <c r="J10" s="13">
        <v>217</v>
      </c>
      <c r="K10" s="14">
        <f t="shared" si="1"/>
        <v>4042</v>
      </c>
      <c r="L10" s="14">
        <v>45516.2</v>
      </c>
      <c r="M10" s="14">
        <v>147283.79999999999</v>
      </c>
      <c r="N10" s="14">
        <v>18652</v>
      </c>
      <c r="O10" s="14">
        <v>15444</v>
      </c>
      <c r="P10" s="14">
        <v>11303</v>
      </c>
      <c r="Q10" s="14">
        <v>9880</v>
      </c>
      <c r="R10" s="14">
        <v>7782</v>
      </c>
      <c r="S10" s="14">
        <v>4252</v>
      </c>
      <c r="T10" s="14">
        <v>1337</v>
      </c>
      <c r="U10">
        <f t="shared" si="2"/>
        <v>0.50751161125049982</v>
      </c>
      <c r="V10">
        <f t="shared" ref="V10:V13" si="5">(C10/M10)*100</f>
        <v>0.28244789990480967</v>
      </c>
      <c r="W10">
        <f t="shared" ref="W10:W13" si="6">(D10/N10)*100</f>
        <v>1.0508256487239975</v>
      </c>
      <c r="X10">
        <f t="shared" ref="X10:X13" si="7">(E10/O10)*100</f>
        <v>1.5022015022015021</v>
      </c>
      <c r="Y10">
        <f t="shared" ref="Y10:Y13" si="8">(F10/P10)*100</f>
        <v>2.831106785809077</v>
      </c>
      <c r="Z10">
        <f t="shared" ref="Z10:Z13" si="9">(G10/Q10)*100</f>
        <v>6.3360323886639671</v>
      </c>
      <c r="AA10">
        <f t="shared" ref="AA10:AA13" si="10">(H10/R10)*100</f>
        <v>12.695965047545618</v>
      </c>
      <c r="AB10">
        <f t="shared" ref="AB10:AB13" si="11">(I10/S10)*100</f>
        <v>19.190968955785511</v>
      </c>
      <c r="AC10">
        <f>(J10/T10)*100</f>
        <v>16.230366492146597</v>
      </c>
    </row>
    <row r="11" spans="1:125" x14ac:dyDescent="0.25">
      <c r="A11" t="s">
        <v>23</v>
      </c>
      <c r="B11" s="13">
        <v>99</v>
      </c>
      <c r="C11" s="13">
        <v>397</v>
      </c>
      <c r="D11" s="13">
        <v>133</v>
      </c>
      <c r="E11" s="13">
        <v>167</v>
      </c>
      <c r="F11" s="13">
        <v>226</v>
      </c>
      <c r="G11" s="13">
        <v>452</v>
      </c>
      <c r="H11" s="13">
        <v>785</v>
      </c>
      <c r="I11" s="13">
        <v>736</v>
      </c>
      <c r="J11" s="13">
        <v>315</v>
      </c>
      <c r="K11" s="14">
        <f t="shared" si="1"/>
        <v>3310</v>
      </c>
      <c r="L11" s="14">
        <v>45516.2</v>
      </c>
      <c r="M11" s="14">
        <v>147283.79999999999</v>
      </c>
      <c r="N11" s="14">
        <v>18652</v>
      </c>
      <c r="O11" s="14">
        <v>15444</v>
      </c>
      <c r="P11" s="14">
        <v>11303</v>
      </c>
      <c r="Q11" s="14">
        <v>9880</v>
      </c>
      <c r="R11" s="14">
        <v>7782</v>
      </c>
      <c r="S11" s="14">
        <v>4252</v>
      </c>
      <c r="T11" s="14">
        <v>1337</v>
      </c>
      <c r="U11">
        <f t="shared" si="2"/>
        <v>0.21750497625021423</v>
      </c>
      <c r="V11">
        <f t="shared" si="5"/>
        <v>0.26954763524569575</v>
      </c>
      <c r="W11">
        <f t="shared" si="6"/>
        <v>0.71306026163414105</v>
      </c>
      <c r="X11">
        <f t="shared" si="7"/>
        <v>1.0813260813260812</v>
      </c>
      <c r="Y11">
        <f t="shared" si="8"/>
        <v>1.9994691674776608</v>
      </c>
      <c r="Z11">
        <f t="shared" si="9"/>
        <v>4.5748987854251011</v>
      </c>
      <c r="AA11">
        <f t="shared" si="10"/>
        <v>10.087381135954768</v>
      </c>
      <c r="AB11">
        <f t="shared" si="11"/>
        <v>17.309501411100658</v>
      </c>
      <c r="AC11">
        <f>(J11/T11)*100</f>
        <v>23.560209424083769</v>
      </c>
    </row>
    <row r="12" spans="1:125" x14ac:dyDescent="0.25">
      <c r="A12" t="s">
        <v>24</v>
      </c>
      <c r="B12" s="13">
        <v>106</v>
      </c>
      <c r="C12" s="13">
        <v>303</v>
      </c>
      <c r="D12" s="13">
        <v>72</v>
      </c>
      <c r="E12" s="13">
        <v>95</v>
      </c>
      <c r="F12" s="13">
        <v>118</v>
      </c>
      <c r="G12" s="13">
        <v>240</v>
      </c>
      <c r="H12" s="13">
        <v>405</v>
      </c>
      <c r="I12" s="13">
        <v>463</v>
      </c>
      <c r="J12" s="13">
        <v>232</v>
      </c>
      <c r="K12" s="14">
        <f t="shared" si="1"/>
        <v>2034</v>
      </c>
      <c r="L12" s="14">
        <v>45516.2</v>
      </c>
      <c r="M12" s="14">
        <v>147283.79999999999</v>
      </c>
      <c r="N12" s="14">
        <v>18652</v>
      </c>
      <c r="O12" s="14">
        <v>15444</v>
      </c>
      <c r="P12" s="14">
        <v>11303</v>
      </c>
      <c r="Q12" s="14">
        <v>9880</v>
      </c>
      <c r="R12" s="14">
        <v>7782</v>
      </c>
      <c r="S12" s="14">
        <v>4252</v>
      </c>
      <c r="T12" s="14">
        <v>1337</v>
      </c>
      <c r="U12">
        <f t="shared" si="2"/>
        <v>0.23288411598507783</v>
      </c>
      <c r="V12">
        <f t="shared" si="5"/>
        <v>0.20572527324797435</v>
      </c>
      <c r="W12">
        <f t="shared" si="6"/>
        <v>0.38601758524555008</v>
      </c>
      <c r="X12">
        <f t="shared" si="7"/>
        <v>0.61512561512561514</v>
      </c>
      <c r="Y12">
        <f t="shared" si="8"/>
        <v>1.0439706272670972</v>
      </c>
      <c r="Z12">
        <f t="shared" si="9"/>
        <v>2.42914979757085</v>
      </c>
      <c r="AA12">
        <f t="shared" si="10"/>
        <v>5.2043176561295299</v>
      </c>
      <c r="AB12">
        <f t="shared" si="11"/>
        <v>10.888993414863593</v>
      </c>
      <c r="AC12">
        <f>(J12/T12)*100</f>
        <v>17.352281226626776</v>
      </c>
    </row>
    <row r="13" spans="1:125" x14ac:dyDescent="0.25">
      <c r="A13" t="s">
        <v>25</v>
      </c>
      <c r="B13" s="13">
        <v>123</v>
      </c>
      <c r="C13" s="13">
        <v>186</v>
      </c>
      <c r="D13" s="13">
        <v>32</v>
      </c>
      <c r="E13" s="13">
        <v>51</v>
      </c>
      <c r="F13" s="13">
        <v>67</v>
      </c>
      <c r="G13" s="13">
        <v>102</v>
      </c>
      <c r="H13" s="13">
        <v>232</v>
      </c>
      <c r="I13" s="13">
        <v>286</v>
      </c>
      <c r="J13" s="13">
        <v>185</v>
      </c>
      <c r="K13" s="14">
        <f t="shared" si="1"/>
        <v>1264</v>
      </c>
      <c r="L13" s="14">
        <v>45516.2</v>
      </c>
      <c r="M13" s="14">
        <v>147283.79999999999</v>
      </c>
      <c r="N13" s="14">
        <v>18652</v>
      </c>
      <c r="O13" s="14">
        <v>15444</v>
      </c>
      <c r="P13" s="14">
        <v>11303</v>
      </c>
      <c r="Q13" s="14">
        <v>9880</v>
      </c>
      <c r="R13" s="14">
        <v>7782</v>
      </c>
      <c r="S13" s="14">
        <v>4252</v>
      </c>
      <c r="T13" s="14">
        <v>1337</v>
      </c>
      <c r="U13">
        <f t="shared" si="2"/>
        <v>0.27023345534117527</v>
      </c>
      <c r="V13">
        <f t="shared" si="5"/>
        <v>0.12628680139974663</v>
      </c>
      <c r="W13">
        <f t="shared" si="6"/>
        <v>0.17156337122024448</v>
      </c>
      <c r="X13">
        <f t="shared" si="7"/>
        <v>0.33022533022533024</v>
      </c>
      <c r="Y13">
        <f t="shared" si="8"/>
        <v>0.59276298327877552</v>
      </c>
      <c r="Z13">
        <f t="shared" si="9"/>
        <v>1.0323886639676114</v>
      </c>
      <c r="AA13">
        <f t="shared" si="10"/>
        <v>2.9812387561038296</v>
      </c>
      <c r="AB13">
        <f t="shared" si="11"/>
        <v>6.7262464722483539</v>
      </c>
      <c r="AC13">
        <f>(J13/T13)*100</f>
        <v>13.836948391922213</v>
      </c>
      <c r="AM13" s="146" t="s">
        <v>60</v>
      </c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7" t="s">
        <v>64</v>
      </c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 t="s">
        <v>63</v>
      </c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</row>
    <row r="14" spans="1:125" x14ac:dyDescent="0.25">
      <c r="A14" t="s">
        <v>61</v>
      </c>
      <c r="B14" s="13">
        <f>SUM(B10:B13)</f>
        <v>559</v>
      </c>
      <c r="C14" s="13">
        <f t="shared" ref="C14:J14" si="12">SUM(C10:C13)</f>
        <v>1302</v>
      </c>
      <c r="D14" s="13">
        <f t="shared" si="12"/>
        <v>433</v>
      </c>
      <c r="E14" s="13">
        <f t="shared" si="12"/>
        <v>545</v>
      </c>
      <c r="F14" s="13">
        <f t="shared" si="12"/>
        <v>731</v>
      </c>
      <c r="G14" s="13">
        <f t="shared" si="12"/>
        <v>1420</v>
      </c>
      <c r="H14" s="13">
        <f t="shared" si="12"/>
        <v>2410</v>
      </c>
      <c r="I14" s="13">
        <f t="shared" si="12"/>
        <v>2301</v>
      </c>
      <c r="J14" s="13">
        <f t="shared" si="12"/>
        <v>949</v>
      </c>
      <c r="K14" s="14">
        <f t="shared" si="1"/>
        <v>10650</v>
      </c>
      <c r="L14" s="14"/>
      <c r="M14" s="14"/>
      <c r="N14" s="14"/>
      <c r="O14" s="14"/>
      <c r="P14" s="14"/>
      <c r="Q14" s="14"/>
      <c r="R14" s="14"/>
      <c r="S14" s="14"/>
      <c r="T14" s="14"/>
      <c r="AM14" s="146">
        <v>2020</v>
      </c>
      <c r="AN14" s="146"/>
      <c r="AO14" s="146"/>
      <c r="AP14" s="146"/>
      <c r="AQ14" s="146"/>
      <c r="AR14" s="146"/>
      <c r="AS14" s="146"/>
      <c r="AT14" s="146"/>
      <c r="AU14" s="146"/>
      <c r="AV14" s="146">
        <v>2025</v>
      </c>
      <c r="AW14" s="146"/>
      <c r="AX14" s="146"/>
      <c r="AY14" s="146"/>
      <c r="AZ14" s="146"/>
      <c r="BA14" s="146"/>
      <c r="BB14" s="146"/>
      <c r="BC14" s="146"/>
      <c r="BD14" s="146"/>
      <c r="BE14" s="146">
        <v>2030</v>
      </c>
      <c r="BF14" s="146"/>
      <c r="BG14" s="146"/>
      <c r="BH14" s="146"/>
      <c r="BI14" s="146"/>
      <c r="BJ14" s="146"/>
      <c r="BK14" s="146"/>
      <c r="BL14" s="146"/>
      <c r="BM14" s="146"/>
      <c r="BN14" s="146">
        <v>2020</v>
      </c>
      <c r="BO14" s="146"/>
      <c r="BP14" s="146"/>
      <c r="BQ14" s="146"/>
      <c r="BR14" s="146"/>
      <c r="BS14" s="146"/>
      <c r="BT14" s="146"/>
      <c r="BU14" s="146"/>
      <c r="BV14" s="146"/>
      <c r="BW14" s="146"/>
      <c r="BX14" s="146">
        <v>2025</v>
      </c>
      <c r="BY14" s="146"/>
      <c r="BZ14" s="146"/>
      <c r="CA14" s="146"/>
      <c r="CB14" s="146"/>
      <c r="CC14" s="146"/>
      <c r="CD14" s="146"/>
      <c r="CE14" s="146"/>
      <c r="CF14" s="146"/>
      <c r="CG14" s="146"/>
      <c r="CH14" s="146">
        <v>2030</v>
      </c>
      <c r="CI14" s="146"/>
      <c r="CJ14" s="146"/>
      <c r="CK14" s="146"/>
      <c r="CL14" s="146"/>
      <c r="CM14" s="146"/>
      <c r="CN14" s="146"/>
      <c r="CO14" s="146"/>
      <c r="CP14" s="146"/>
      <c r="CQ14" s="146"/>
      <c r="CR14" s="146">
        <v>2020</v>
      </c>
      <c r="CS14" s="146"/>
      <c r="CT14" s="146"/>
      <c r="CU14" s="146"/>
      <c r="CV14" s="146"/>
      <c r="CW14" s="146"/>
      <c r="CX14" s="146"/>
      <c r="CY14" s="146"/>
      <c r="CZ14" s="146"/>
      <c r="DA14" s="146"/>
      <c r="DB14" s="146">
        <v>2025</v>
      </c>
      <c r="DC14" s="146"/>
      <c r="DD14" s="146"/>
      <c r="DE14" s="146"/>
      <c r="DF14" s="146"/>
      <c r="DG14" s="146"/>
      <c r="DH14" s="146"/>
      <c r="DI14" s="146"/>
      <c r="DJ14" s="146"/>
      <c r="DK14" s="146"/>
      <c r="DL14" s="146">
        <v>2030</v>
      </c>
      <c r="DM14" s="146"/>
      <c r="DN14" s="146"/>
      <c r="DO14" s="146"/>
      <c r="DP14" s="146"/>
      <c r="DQ14" s="146"/>
      <c r="DR14" s="146"/>
      <c r="DS14" s="146"/>
      <c r="DT14" s="146"/>
      <c r="DU14" s="146"/>
    </row>
    <row r="15" spans="1:125" x14ac:dyDescent="0.25">
      <c r="B15" s="13"/>
      <c r="C15" s="13"/>
      <c r="D15" s="13"/>
      <c r="E15" s="13"/>
      <c r="F15" s="13"/>
      <c r="G15" s="13"/>
      <c r="H15" s="13"/>
      <c r="I15" s="13"/>
      <c r="J15" s="13"/>
      <c r="L15" s="13"/>
      <c r="M15" s="13"/>
      <c r="N15" s="13"/>
      <c r="O15" s="13"/>
      <c r="P15" s="13"/>
      <c r="Q15" s="13"/>
      <c r="R15" s="13"/>
      <c r="S15" s="13"/>
      <c r="T15" s="13"/>
      <c r="AD15" s="146" t="s">
        <v>59</v>
      </c>
      <c r="AE15" s="146"/>
      <c r="AF15" s="146"/>
      <c r="AG15" s="146"/>
      <c r="AH15" s="146"/>
      <c r="AI15" s="146"/>
      <c r="AJ15" s="146"/>
      <c r="AK15" s="146"/>
      <c r="AL15" s="146"/>
      <c r="AM15" s="13" t="s">
        <v>8</v>
      </c>
      <c r="AN15" s="13" t="s">
        <v>9</v>
      </c>
      <c r="AO15" s="13" t="s">
        <v>10</v>
      </c>
      <c r="AP15" s="13" t="s">
        <v>11</v>
      </c>
      <c r="AQ15" s="13" t="s">
        <v>12</v>
      </c>
      <c r="AR15" s="13" t="s">
        <v>13</v>
      </c>
      <c r="AS15" s="13" t="s">
        <v>14</v>
      </c>
      <c r="AT15" s="13" t="s">
        <v>15</v>
      </c>
      <c r="AU15" s="13" t="s">
        <v>16</v>
      </c>
      <c r="AV15" s="13" t="s">
        <v>8</v>
      </c>
      <c r="AW15" s="13" t="s">
        <v>9</v>
      </c>
      <c r="AX15" s="13" t="s">
        <v>10</v>
      </c>
      <c r="AY15" s="13" t="s">
        <v>11</v>
      </c>
      <c r="AZ15" s="13" t="s">
        <v>12</v>
      </c>
      <c r="BA15" s="13" t="s">
        <v>13</v>
      </c>
      <c r="BB15" s="13" t="s">
        <v>14</v>
      </c>
      <c r="BC15" s="13" t="s">
        <v>15</v>
      </c>
      <c r="BD15" s="13" t="s">
        <v>16</v>
      </c>
      <c r="BE15" s="13" t="s">
        <v>8</v>
      </c>
      <c r="BF15" s="13" t="s">
        <v>9</v>
      </c>
      <c r="BG15" s="13" t="s">
        <v>10</v>
      </c>
      <c r="BH15" s="13" t="s">
        <v>11</v>
      </c>
      <c r="BI15" s="13" t="s">
        <v>12</v>
      </c>
      <c r="BJ15" s="13" t="s">
        <v>13</v>
      </c>
      <c r="BK15" s="13" t="s">
        <v>14</v>
      </c>
      <c r="BL15" s="13" t="s">
        <v>15</v>
      </c>
      <c r="BM15" s="13" t="s">
        <v>16</v>
      </c>
      <c r="BN15" s="13" t="s">
        <v>8</v>
      </c>
      <c r="BO15" s="13" t="s">
        <v>9</v>
      </c>
      <c r="BP15" s="13" t="s">
        <v>10</v>
      </c>
      <c r="BQ15" s="13" t="s">
        <v>11</v>
      </c>
      <c r="BR15" s="13" t="s">
        <v>12</v>
      </c>
      <c r="BS15" s="13" t="s">
        <v>13</v>
      </c>
      <c r="BT15" s="13" t="s">
        <v>14</v>
      </c>
      <c r="BU15" s="13" t="s">
        <v>15</v>
      </c>
      <c r="BV15" s="13" t="s">
        <v>16</v>
      </c>
      <c r="BW15" s="13" t="s">
        <v>61</v>
      </c>
      <c r="BX15" s="13" t="s">
        <v>8</v>
      </c>
      <c r="BY15" s="13" t="s">
        <v>9</v>
      </c>
      <c r="BZ15" s="13" t="s">
        <v>10</v>
      </c>
      <c r="CA15" s="13" t="s">
        <v>11</v>
      </c>
      <c r="CB15" s="13" t="s">
        <v>12</v>
      </c>
      <c r="CC15" s="13" t="s">
        <v>13</v>
      </c>
      <c r="CD15" s="13" t="s">
        <v>14</v>
      </c>
      <c r="CE15" s="13" t="s">
        <v>15</v>
      </c>
      <c r="CF15" s="13" t="s">
        <v>16</v>
      </c>
      <c r="CG15" s="13" t="s">
        <v>61</v>
      </c>
      <c r="CH15" s="13" t="s">
        <v>8</v>
      </c>
      <c r="CI15" s="13" t="s">
        <v>9</v>
      </c>
      <c r="CJ15" s="13" t="s">
        <v>10</v>
      </c>
      <c r="CK15" s="13" t="s">
        <v>11</v>
      </c>
      <c r="CL15" s="13" t="s">
        <v>12</v>
      </c>
      <c r="CM15" s="13" t="s">
        <v>13</v>
      </c>
      <c r="CN15" s="13" t="s">
        <v>14</v>
      </c>
      <c r="CO15" s="13" t="s">
        <v>15</v>
      </c>
      <c r="CP15" s="13" t="s">
        <v>16</v>
      </c>
      <c r="CQ15" s="13" t="s">
        <v>61</v>
      </c>
      <c r="CR15" s="13" t="s">
        <v>8</v>
      </c>
      <c r="CS15" s="13" t="s">
        <v>9</v>
      </c>
      <c r="CT15" s="13" t="s">
        <v>10</v>
      </c>
      <c r="CU15" s="13" t="s">
        <v>11</v>
      </c>
      <c r="CV15" s="13" t="s">
        <v>12</v>
      </c>
      <c r="CW15" s="13" t="s">
        <v>13</v>
      </c>
      <c r="CX15" s="13" t="s">
        <v>14</v>
      </c>
      <c r="CY15" s="13" t="s">
        <v>15</v>
      </c>
      <c r="CZ15" s="13" t="s">
        <v>16</v>
      </c>
      <c r="DA15" s="13" t="s">
        <v>61</v>
      </c>
      <c r="DB15" s="13" t="s">
        <v>8</v>
      </c>
      <c r="DC15" s="13" t="s">
        <v>9</v>
      </c>
      <c r="DD15" s="13" t="s">
        <v>10</v>
      </c>
      <c r="DE15" s="13" t="s">
        <v>11</v>
      </c>
      <c r="DF15" s="13" t="s">
        <v>12</v>
      </c>
      <c r="DG15" s="13" t="s">
        <v>13</v>
      </c>
      <c r="DH15" s="13" t="s">
        <v>14</v>
      </c>
      <c r="DI15" s="13" t="s">
        <v>15</v>
      </c>
      <c r="DJ15" s="13" t="s">
        <v>16</v>
      </c>
      <c r="DK15" s="13" t="s">
        <v>61</v>
      </c>
      <c r="DL15" s="13" t="s">
        <v>8</v>
      </c>
      <c r="DM15" s="13" t="s">
        <v>9</v>
      </c>
      <c r="DN15" s="13" t="s">
        <v>10</v>
      </c>
      <c r="DO15" s="13" t="s">
        <v>11</v>
      </c>
      <c r="DP15" s="13" t="s">
        <v>12</v>
      </c>
      <c r="DQ15" s="13" t="s">
        <v>13</v>
      </c>
      <c r="DR15" s="13" t="s">
        <v>14</v>
      </c>
      <c r="DS15" s="13" t="s">
        <v>15</v>
      </c>
      <c r="DT15" s="13" t="s">
        <v>16</v>
      </c>
      <c r="DU15" s="13" t="s">
        <v>61</v>
      </c>
    </row>
    <row r="16" spans="1:125" x14ac:dyDescent="0.25">
      <c r="A16" t="s">
        <v>28</v>
      </c>
      <c r="B16" s="13" t="s">
        <v>8</v>
      </c>
      <c r="C16" s="13" t="s">
        <v>9</v>
      </c>
      <c r="D16" s="13" t="s">
        <v>10</v>
      </c>
      <c r="E16" s="13" t="s">
        <v>11</v>
      </c>
      <c r="F16" s="13" t="s">
        <v>12</v>
      </c>
      <c r="G16" s="13" t="s">
        <v>13</v>
      </c>
      <c r="H16" s="13" t="s">
        <v>14</v>
      </c>
      <c r="I16" s="13" t="s">
        <v>15</v>
      </c>
      <c r="J16" s="13" t="s">
        <v>16</v>
      </c>
      <c r="K16" s="13" t="s">
        <v>61</v>
      </c>
      <c r="L16" s="13" t="s">
        <v>8</v>
      </c>
      <c r="M16" s="13" t="s">
        <v>9</v>
      </c>
      <c r="N16" s="13" t="s">
        <v>10</v>
      </c>
      <c r="O16" s="13" t="s">
        <v>11</v>
      </c>
      <c r="P16" s="13" t="s">
        <v>12</v>
      </c>
      <c r="Q16" s="13" t="s">
        <v>13</v>
      </c>
      <c r="R16" s="13" t="s">
        <v>14</v>
      </c>
      <c r="S16" s="13" t="s">
        <v>15</v>
      </c>
      <c r="T16" s="13" t="s">
        <v>16</v>
      </c>
      <c r="U16" s="13" t="s">
        <v>8</v>
      </c>
      <c r="V16" s="13" t="s">
        <v>9</v>
      </c>
      <c r="W16" s="13" t="s">
        <v>10</v>
      </c>
      <c r="X16" s="13" t="s">
        <v>11</v>
      </c>
      <c r="Y16" s="13" t="s">
        <v>12</v>
      </c>
      <c r="Z16" s="13" t="s">
        <v>13</v>
      </c>
      <c r="AA16" s="13" t="s">
        <v>14</v>
      </c>
      <c r="AB16" s="13" t="s">
        <v>15</v>
      </c>
      <c r="AC16" s="13" t="s">
        <v>16</v>
      </c>
      <c r="AD16" s="13" t="s">
        <v>8</v>
      </c>
      <c r="AE16" s="13" t="s">
        <v>9</v>
      </c>
      <c r="AF16" s="13" t="s">
        <v>10</v>
      </c>
      <c r="AG16" s="13" t="s">
        <v>11</v>
      </c>
      <c r="AH16" s="13" t="s">
        <v>12</v>
      </c>
      <c r="AI16" s="13" t="s">
        <v>13</v>
      </c>
      <c r="AJ16" s="13" t="s">
        <v>14</v>
      </c>
      <c r="AK16" s="13" t="s">
        <v>15</v>
      </c>
      <c r="AL16" s="13" t="s">
        <v>16</v>
      </c>
      <c r="AM16" s="14">
        <v>48233.8</v>
      </c>
      <c r="AN16" s="14">
        <v>144510.20000000001</v>
      </c>
      <c r="AO16" s="14">
        <v>15736</v>
      </c>
      <c r="AP16" s="14">
        <v>15985</v>
      </c>
      <c r="AQ16" s="14">
        <v>13305</v>
      </c>
      <c r="AR16" s="14">
        <v>8275</v>
      </c>
      <c r="AS16" s="14">
        <v>4500</v>
      </c>
      <c r="AT16" s="14">
        <v>2655</v>
      </c>
      <c r="AU16" s="14">
        <v>1091</v>
      </c>
      <c r="AV16" s="14">
        <v>46897.4</v>
      </c>
      <c r="AW16" s="14">
        <v>141138.6</v>
      </c>
      <c r="AX16" s="14">
        <v>14805</v>
      </c>
      <c r="AY16" s="14">
        <v>14621</v>
      </c>
      <c r="AZ16" s="14">
        <v>14247</v>
      </c>
      <c r="BA16" s="14">
        <v>11112</v>
      </c>
      <c r="BB16" s="14">
        <v>6229</v>
      </c>
      <c r="BC16" s="14">
        <v>2815</v>
      </c>
      <c r="BD16" s="14">
        <v>1516</v>
      </c>
      <c r="BE16" s="14">
        <v>43753</v>
      </c>
      <c r="BF16" s="14">
        <v>139035</v>
      </c>
      <c r="BG16" s="14">
        <v>15151</v>
      </c>
      <c r="BH16" s="14">
        <v>13960</v>
      </c>
      <c r="BI16" s="14">
        <v>13249</v>
      </c>
      <c r="BJ16" s="14">
        <v>12173</v>
      </c>
      <c r="BK16" s="14">
        <v>8627</v>
      </c>
      <c r="BL16" s="14">
        <v>4096</v>
      </c>
      <c r="BM16" s="14">
        <v>1816</v>
      </c>
      <c r="BN16" s="14">
        <f>(AM16*U17)/100</f>
        <v>429.23494305425157</v>
      </c>
      <c r="BO16" s="14">
        <f t="shared" ref="BO16:BV19" si="13">(AN16*V17)/100</f>
        <v>459.28171283747156</v>
      </c>
      <c r="BP16" s="14">
        <f t="shared" si="13"/>
        <v>128.7800315660256</v>
      </c>
      <c r="BQ16" s="14">
        <f t="shared" si="13"/>
        <v>190.45357120342939</v>
      </c>
      <c r="BR16" s="14">
        <f t="shared" si="13"/>
        <v>199.6998123827392</v>
      </c>
      <c r="BS16" s="14">
        <f t="shared" si="13"/>
        <v>208.21187955451671</v>
      </c>
      <c r="BT16" s="14">
        <f t="shared" si="13"/>
        <v>206.29775410974761</v>
      </c>
      <c r="BU16" s="14">
        <f t="shared" si="13"/>
        <v>177.64993880048962</v>
      </c>
      <c r="BV16" s="14">
        <f t="shared" si="13"/>
        <v>113.35064935064935</v>
      </c>
      <c r="BW16" s="14">
        <f>SUM(BN16:BV16)</f>
        <v>2112.9602928593204</v>
      </c>
      <c r="BX16" s="14">
        <f>(AV16*U17)/100</f>
        <v>417.3422541535698</v>
      </c>
      <c r="BY16" s="14">
        <f t="shared" ref="BY16:CF19" si="14">(AW16*V17)/100</f>
        <v>448.5661078282555</v>
      </c>
      <c r="BZ16" s="14">
        <f t="shared" si="14"/>
        <v>121.16092827497516</v>
      </c>
      <c r="CA16" s="14">
        <f t="shared" si="14"/>
        <v>174.20216856836666</v>
      </c>
      <c r="CB16" s="14">
        <f t="shared" si="14"/>
        <v>213.83864915572229</v>
      </c>
      <c r="CC16" s="14">
        <f t="shared" si="14"/>
        <v>279.5952151794308</v>
      </c>
      <c r="CD16" s="14">
        <f t="shared" si="14"/>
        <v>285.56193563324842</v>
      </c>
      <c r="CE16" s="14">
        <f t="shared" si="14"/>
        <v>188.35577315381477</v>
      </c>
      <c r="CF16" s="14">
        <f t="shared" si="14"/>
        <v>157.50649350649348</v>
      </c>
      <c r="CG16" s="14">
        <f>SUM(BX16:CF16)</f>
        <v>2286.1295254538768</v>
      </c>
      <c r="CH16" s="14">
        <f>(BE16*U17)/100</f>
        <v>389.3600849083561</v>
      </c>
      <c r="CI16" s="14">
        <f t="shared" ref="CI16:CP19" si="15">(BF16*V17)/100</f>
        <v>441.88045511221952</v>
      </c>
      <c r="CJ16" s="14">
        <f t="shared" si="15"/>
        <v>123.99251768281989</v>
      </c>
      <c r="CK16" s="14">
        <f t="shared" si="15"/>
        <v>166.3266721301141</v>
      </c>
      <c r="CL16" s="14">
        <f t="shared" si="15"/>
        <v>198.85928705440901</v>
      </c>
      <c r="CM16" s="14">
        <f t="shared" si="15"/>
        <v>306.29162656400388</v>
      </c>
      <c r="CN16" s="14">
        <f t="shared" si="15"/>
        <v>395.49571660106506</v>
      </c>
      <c r="CO16" s="14">
        <f t="shared" si="15"/>
        <v>274.06935944512446</v>
      </c>
      <c r="CP16" s="14">
        <f t="shared" si="15"/>
        <v>188.67532467532467</v>
      </c>
      <c r="CQ16" s="14">
        <f>SUM(CH16:CP16)</f>
        <v>2484.9510441734365</v>
      </c>
      <c r="CR16" s="14">
        <f>(AM16*(U17+(AD17/2)))/100</f>
        <v>479.49914468818474</v>
      </c>
      <c r="CS16" s="14">
        <f t="shared" ref="CS16:CZ19" si="16">(AN16*(V17+(AE17/2)))/100</f>
        <v>477.845218824428</v>
      </c>
      <c r="CT16" s="14">
        <f t="shared" si="16"/>
        <v>114.67050606463474</v>
      </c>
      <c r="CU16" s="14">
        <f t="shared" si="16"/>
        <v>179.00054488340888</v>
      </c>
      <c r="CV16" s="14">
        <f t="shared" si="16"/>
        <v>203.29545436989753</v>
      </c>
      <c r="CW16" s="14">
        <f t="shared" si="16"/>
        <v>186.40246032083832</v>
      </c>
      <c r="CX16" s="14">
        <f t="shared" si="16"/>
        <v>167.75897373389097</v>
      </c>
      <c r="CY16" s="14">
        <f t="shared" si="16"/>
        <v>110.58121963374013</v>
      </c>
      <c r="CZ16" s="14">
        <f t="shared" si="16"/>
        <v>87.612304961225817</v>
      </c>
      <c r="DA16" s="14">
        <f>SUM(CR16:CZ16)</f>
        <v>2006.6658274802492</v>
      </c>
      <c r="DB16" s="14">
        <f>((AV16*((U17+((AD17/3)*4))))/100)</f>
        <v>547.66637650247412</v>
      </c>
      <c r="DC16" s="14">
        <f t="shared" ref="DC16:DJ19" si="17">((AW16*((V17+((AE17/3)*4))))/100)</f>
        <v>496.91383223046648</v>
      </c>
      <c r="DD16" s="14">
        <f t="shared" si="17"/>
        <v>85.761584935186676</v>
      </c>
      <c r="DE16" s="14">
        <f t="shared" si="17"/>
        <v>146.26686291514682</v>
      </c>
      <c r="DF16" s="14">
        <f t="shared" si="17"/>
        <v>224.10588931927884</v>
      </c>
      <c r="DG16" s="14">
        <f t="shared" si="17"/>
        <v>201.49772747763521</v>
      </c>
      <c r="DH16" s="14">
        <f t="shared" si="17"/>
        <v>143.30530573030848</v>
      </c>
      <c r="DI16" s="14">
        <v>0</v>
      </c>
      <c r="DJ16" s="14">
        <f t="shared" si="17"/>
        <v>62.133856551122733</v>
      </c>
      <c r="DK16" s="14">
        <f>SUM(DB16:DJ16)</f>
        <v>1907.6514356616196</v>
      </c>
      <c r="DL16" s="14">
        <f>((BE16*(U17+(AD17/6)*13))/100)</f>
        <v>586.93747519734598</v>
      </c>
      <c r="DM16" s="14">
        <f t="shared" ref="DM16:DT19" si="18">((BF16*(V17+(AE17/6)*13))/100)</f>
        <v>519.2745345927782</v>
      </c>
      <c r="DN16" s="14">
        <f t="shared" si="18"/>
        <v>65.124222662262994</v>
      </c>
      <c r="DO16" s="14">
        <f t="shared" si="18"/>
        <v>122.98405474804095</v>
      </c>
      <c r="DP16" s="14">
        <f t="shared" si="18"/>
        <v>214.37482229034009</v>
      </c>
      <c r="DQ16" s="14">
        <f t="shared" si="18"/>
        <v>167.26569366126981</v>
      </c>
      <c r="DR16" s="14">
        <f t="shared" si="18"/>
        <v>75.335512309753852</v>
      </c>
      <c r="DS16" s="14">
        <v>0</v>
      </c>
      <c r="DT16" s="14">
        <f t="shared" si="18"/>
        <v>3.0258183063938269</v>
      </c>
      <c r="DU16" s="14">
        <f>SUM(DL16:DT16)</f>
        <v>1754.3221337681857</v>
      </c>
    </row>
    <row r="17" spans="1:125" x14ac:dyDescent="0.25">
      <c r="A17" t="s">
        <v>22</v>
      </c>
      <c r="B17" s="13">
        <v>436</v>
      </c>
      <c r="C17" s="13">
        <v>469</v>
      </c>
      <c r="D17" s="13">
        <v>140</v>
      </c>
      <c r="E17" s="13">
        <v>189</v>
      </c>
      <c r="F17" s="13">
        <v>184</v>
      </c>
      <c r="G17" s="13">
        <v>183</v>
      </c>
      <c r="H17" s="13">
        <v>198</v>
      </c>
      <c r="I17" s="13">
        <v>164</v>
      </c>
      <c r="J17" s="13">
        <v>80</v>
      </c>
      <c r="K17" s="14">
        <f t="shared" si="1"/>
        <v>2043</v>
      </c>
      <c r="L17" s="14">
        <v>48994</v>
      </c>
      <c r="M17" s="14">
        <v>147568</v>
      </c>
      <c r="N17" s="14">
        <v>17107</v>
      </c>
      <c r="O17" s="14">
        <v>15863</v>
      </c>
      <c r="P17" s="14">
        <v>12259</v>
      </c>
      <c r="Q17" s="14">
        <v>7273</v>
      </c>
      <c r="R17" s="14">
        <v>4319</v>
      </c>
      <c r="S17" s="14">
        <v>2451</v>
      </c>
      <c r="T17" s="14">
        <v>770</v>
      </c>
      <c r="U17">
        <f t="shared" si="2"/>
        <v>0.88990488631260967</v>
      </c>
      <c r="V17">
        <f t="shared" ref="V17:V20" si="19">(C17/M17)*100</f>
        <v>0.31781958148107992</v>
      </c>
      <c r="W17">
        <f t="shared" ref="W17:W20" si="20">(D17/N17)*100</f>
        <v>0.81837844157362483</v>
      </c>
      <c r="X17">
        <f t="shared" ref="X17:X20" si="21">(E17/O17)*100</f>
        <v>1.1914518060896426</v>
      </c>
      <c r="Y17">
        <f t="shared" ref="Y17:Y20" si="22">(F17/P17)*100</f>
        <v>1.5009380863039399</v>
      </c>
      <c r="Z17">
        <f t="shared" ref="Z17:Z20" si="23">(G17/Q17)*100</f>
        <v>2.5161556441633439</v>
      </c>
      <c r="AA17">
        <f t="shared" ref="AA17:AA20" si="24">(H17/R17)*100</f>
        <v>4.5843945357721694</v>
      </c>
      <c r="AB17">
        <f t="shared" ref="AB17:AB20" si="25">(I17/S17)*100</f>
        <v>6.691146470828234</v>
      </c>
      <c r="AC17">
        <f>(J17/T17)*100</f>
        <v>10.38961038961039</v>
      </c>
      <c r="AD17" s="16">
        <f>U17-U3</f>
        <v>0.20841899926579777</v>
      </c>
      <c r="AE17" s="16">
        <f t="shared" ref="AD17:AL20" si="26">V17-V3</f>
        <v>2.569162036583772E-2</v>
      </c>
      <c r="AF17" s="16">
        <f t="shared" si="26"/>
        <v>-0.17932798044472387</v>
      </c>
      <c r="AG17" s="16">
        <f t="shared" si="26"/>
        <v>-0.14329717009722232</v>
      </c>
      <c r="AH17" s="16">
        <f t="shared" si="26"/>
        <v>5.4049484962921168E-2</v>
      </c>
      <c r="AI17" s="16">
        <f t="shared" si="26"/>
        <v>-0.52711587271730265</v>
      </c>
      <c r="AJ17" s="16">
        <f t="shared" si="26"/>
        <v>-1.7128346833714074</v>
      </c>
      <c r="AK17" s="16">
        <f t="shared" si="26"/>
        <v>-5.0522575643502448</v>
      </c>
      <c r="AL17" s="16">
        <f t="shared" si="26"/>
        <v>-4.7183032794543589</v>
      </c>
      <c r="AM17" s="14">
        <v>48233.8</v>
      </c>
      <c r="AN17" s="14">
        <v>144510.20000000001</v>
      </c>
      <c r="AO17" s="14">
        <v>15736</v>
      </c>
      <c r="AP17" s="14">
        <v>15985</v>
      </c>
      <c r="AQ17" s="14">
        <v>13305</v>
      </c>
      <c r="AR17" s="14">
        <v>8275</v>
      </c>
      <c r="AS17" s="14">
        <v>4500</v>
      </c>
      <c r="AT17" s="14">
        <v>2655</v>
      </c>
      <c r="AU17" s="14">
        <v>1091</v>
      </c>
      <c r="AV17" s="14">
        <v>46897.4</v>
      </c>
      <c r="AW17" s="14">
        <v>141138.6</v>
      </c>
      <c r="AX17" s="14">
        <v>14805</v>
      </c>
      <c r="AY17" s="14">
        <v>14621</v>
      </c>
      <c r="AZ17" s="14">
        <v>14247</v>
      </c>
      <c r="BA17" s="14">
        <v>11112</v>
      </c>
      <c r="BB17" s="14">
        <v>6229</v>
      </c>
      <c r="BC17" s="14">
        <v>2815</v>
      </c>
      <c r="BD17" s="14">
        <v>1516</v>
      </c>
      <c r="BE17" s="14">
        <v>43753</v>
      </c>
      <c r="BF17" s="14">
        <v>139035</v>
      </c>
      <c r="BG17" s="14">
        <v>15151</v>
      </c>
      <c r="BH17" s="14">
        <v>13960</v>
      </c>
      <c r="BI17" s="14">
        <v>13249</v>
      </c>
      <c r="BJ17" s="14">
        <v>12173</v>
      </c>
      <c r="BK17" s="14">
        <v>8627</v>
      </c>
      <c r="BL17" s="14">
        <v>4096</v>
      </c>
      <c r="BM17" s="14">
        <v>1816</v>
      </c>
      <c r="BN17" s="14">
        <f t="shared" ref="BN17:BN26" si="27">(AM17*U18)/100</f>
        <v>364.25901130750702</v>
      </c>
      <c r="BO17" s="14">
        <f t="shared" si="13"/>
        <v>592.46361677328423</v>
      </c>
      <c r="BP17" s="14">
        <f t="shared" si="13"/>
        <v>164.654468930847</v>
      </c>
      <c r="BQ17" s="14">
        <f t="shared" si="13"/>
        <v>257.96885834961859</v>
      </c>
      <c r="BR17" s="14">
        <f t="shared" si="13"/>
        <v>288.69646790113381</v>
      </c>
      <c r="BS17" s="14">
        <f t="shared" si="13"/>
        <v>236.65612539529766</v>
      </c>
      <c r="BT17" s="14">
        <f t="shared" si="13"/>
        <v>278.18939569344752</v>
      </c>
      <c r="BU17" s="14">
        <f t="shared" si="13"/>
        <v>289.22276621787029</v>
      </c>
      <c r="BV17" s="14">
        <f t="shared" si="13"/>
        <v>202.61428571428573</v>
      </c>
      <c r="BW17" s="14">
        <f t="shared" ref="BW17:BW26" si="28">SUM(BN17:BV17)</f>
        <v>2674.7249962832921</v>
      </c>
      <c r="BX17" s="14">
        <f t="shared" ref="BX17:BX26" si="29">(AV17*U18)/100</f>
        <v>354.16659182757076</v>
      </c>
      <c r="BY17" s="14">
        <f t="shared" si="14"/>
        <v>578.64071478911421</v>
      </c>
      <c r="BZ17" s="14">
        <f t="shared" si="14"/>
        <v>154.91290115157534</v>
      </c>
      <c r="CA17" s="14">
        <f t="shared" si="14"/>
        <v>235.95637647355477</v>
      </c>
      <c r="CB17" s="14">
        <f t="shared" si="14"/>
        <v>309.13630801859853</v>
      </c>
      <c r="CC17" s="14">
        <f t="shared" si="14"/>
        <v>317.79128282689396</v>
      </c>
      <c r="CD17" s="14">
        <f t="shared" si="14"/>
        <v>385.07594350544105</v>
      </c>
      <c r="CE17" s="14">
        <f t="shared" si="14"/>
        <v>306.65238678090577</v>
      </c>
      <c r="CF17" s="14">
        <f t="shared" si="14"/>
        <v>281.5428571428572</v>
      </c>
      <c r="CG17" s="14">
        <f t="shared" ref="CG17:CG19" si="30">SUM(BX17:CF17)</f>
        <v>2923.8753625165118</v>
      </c>
      <c r="CH17" s="14">
        <f t="shared" ref="CH17:CH26" si="31">(BE17*U18)/100</f>
        <v>330.42025554149484</v>
      </c>
      <c r="CI17" s="14">
        <f t="shared" si="15"/>
        <v>570.0163653366584</v>
      </c>
      <c r="CJ17" s="14">
        <f t="shared" si="15"/>
        <v>158.53329046589113</v>
      </c>
      <c r="CK17" s="14">
        <f t="shared" si="15"/>
        <v>225.28903738258839</v>
      </c>
      <c r="CL17" s="14">
        <f t="shared" si="15"/>
        <v>287.48136063300427</v>
      </c>
      <c r="CM17" s="14">
        <f t="shared" si="15"/>
        <v>348.13474494706446</v>
      </c>
      <c r="CN17" s="14">
        <f t="shared" si="15"/>
        <v>533.31998147719378</v>
      </c>
      <c r="CO17" s="14">
        <f t="shared" si="15"/>
        <v>446.19828641370873</v>
      </c>
      <c r="CP17" s="14">
        <f t="shared" si="15"/>
        <v>337.25714285714292</v>
      </c>
      <c r="CQ17" s="14">
        <f t="shared" ref="CQ17:CQ19" si="32">SUM(CH17:CP17)</f>
        <v>3236.6504650547467</v>
      </c>
      <c r="CR17" s="14">
        <f t="shared" ref="CR17:CR26" si="33">(AM17*(U18+(AD18/2)))/100</f>
        <v>446.28243438995241</v>
      </c>
      <c r="CS17" s="14">
        <f t="shared" si="16"/>
        <v>635.496208788324</v>
      </c>
      <c r="CT17" s="14">
        <f t="shared" si="16"/>
        <v>165.77528137792186</v>
      </c>
      <c r="CU17" s="14">
        <f t="shared" si="16"/>
        <v>288.75936973283075</v>
      </c>
      <c r="CV17" s="14">
        <f t="shared" si="16"/>
        <v>313.31378784158426</v>
      </c>
      <c r="CW17" s="14">
        <f t="shared" si="16"/>
        <v>248.08729476595335</v>
      </c>
      <c r="CX17" s="14">
        <f t="shared" si="16"/>
        <v>298.26646129835774</v>
      </c>
      <c r="CY17" s="14">
        <f t="shared" si="16"/>
        <v>282.74775512090781</v>
      </c>
      <c r="CZ17" s="14">
        <f t="shared" si="16"/>
        <v>220.19960602946216</v>
      </c>
      <c r="DA17" s="14">
        <f t="shared" ref="DA17:DA19" si="34">SUM(CR17:CZ17)</f>
        <v>2898.9281993452942</v>
      </c>
      <c r="DB17" s="14">
        <f t="shared" ref="DB17:DB26" si="35">((AV17*((U18+((AD18/3)*4))))/100)</f>
        <v>566.83545510970464</v>
      </c>
      <c r="DC17" s="14">
        <f t="shared" si="17"/>
        <v>690.71695192437323</v>
      </c>
      <c r="DD17" s="14">
        <f t="shared" si="17"/>
        <v>157.72490391025073</v>
      </c>
      <c r="DE17" s="14">
        <f t="shared" si="17"/>
        <v>311.05812885540354</v>
      </c>
      <c r="DF17" s="14">
        <f t="shared" si="17"/>
        <v>379.43027413491524</v>
      </c>
      <c r="DG17" s="14">
        <f t="shared" si="17"/>
        <v>358.72522975031012</v>
      </c>
      <c r="DH17" s="14">
        <f t="shared" si="17"/>
        <v>459.18559781832136</v>
      </c>
      <c r="DI17" s="14">
        <f t="shared" si="17"/>
        <v>288.34513632219966</v>
      </c>
      <c r="DJ17" s="14">
        <f t="shared" si="17"/>
        <v>346.70471622701842</v>
      </c>
      <c r="DK17" s="14">
        <f t="shared" ref="DK17:DK19" si="36">SUM(DB17:DJ17)</f>
        <v>3558.7263940524967</v>
      </c>
      <c r="DL17" s="14">
        <f t="shared" ref="DL17:DL26" si="37">((BE17*(U18+(AD18/6)*13))/100)</f>
        <v>652.83607730715141</v>
      </c>
      <c r="DM17" s="14">
        <f t="shared" si="18"/>
        <v>749.42578557260867</v>
      </c>
      <c r="DN17" s="14">
        <f t="shared" si="18"/>
        <v>163.20958647532188</v>
      </c>
      <c r="DO17" s="14">
        <f t="shared" si="18"/>
        <v>341.81206951323884</v>
      </c>
      <c r="DP17" s="14">
        <f t="shared" si="18"/>
        <v>393.70742438305729</v>
      </c>
      <c r="DQ17" s="14">
        <f t="shared" si="18"/>
        <v>421.00367230806694</v>
      </c>
      <c r="DR17" s="14">
        <f t="shared" si="18"/>
        <v>700.10983219247385</v>
      </c>
      <c r="DS17" s="14">
        <f t="shared" si="18"/>
        <v>402.91123168790131</v>
      </c>
      <c r="DT17" s="14">
        <f t="shared" si="18"/>
        <v>464.09925773666794</v>
      </c>
      <c r="DU17" s="14">
        <f t="shared" ref="DU17:DU19" si="38">SUM(DL17:DT17)</f>
        <v>4289.1149371764877</v>
      </c>
    </row>
    <row r="18" spans="1:125" x14ac:dyDescent="0.25">
      <c r="A18" t="s">
        <v>23</v>
      </c>
      <c r="B18" s="13">
        <v>370</v>
      </c>
      <c r="C18" s="13">
        <v>605</v>
      </c>
      <c r="D18" s="13">
        <v>179</v>
      </c>
      <c r="E18" s="13">
        <v>256</v>
      </c>
      <c r="F18" s="13">
        <v>266</v>
      </c>
      <c r="G18" s="13">
        <v>208</v>
      </c>
      <c r="H18" s="13">
        <v>267</v>
      </c>
      <c r="I18" s="13">
        <v>267</v>
      </c>
      <c r="J18" s="13">
        <v>143</v>
      </c>
      <c r="K18" s="14">
        <f t="shared" si="1"/>
        <v>2561</v>
      </c>
      <c r="L18" s="14">
        <v>48994</v>
      </c>
      <c r="M18" s="14">
        <v>147568</v>
      </c>
      <c r="N18" s="14">
        <v>17107</v>
      </c>
      <c r="O18" s="14">
        <v>15863</v>
      </c>
      <c r="P18" s="14">
        <v>12259</v>
      </c>
      <c r="Q18" s="14">
        <v>7273</v>
      </c>
      <c r="R18" s="14">
        <v>4319</v>
      </c>
      <c r="S18" s="14">
        <v>2451</v>
      </c>
      <c r="T18" s="14">
        <v>770</v>
      </c>
      <c r="U18">
        <f t="shared" si="2"/>
        <v>0.75519451361391188</v>
      </c>
      <c r="V18">
        <f t="shared" si="19"/>
        <v>0.4099804835736745</v>
      </c>
      <c r="W18">
        <f t="shared" si="20"/>
        <v>1.0463552931548488</v>
      </c>
      <c r="X18">
        <f t="shared" si="21"/>
        <v>1.6138183193595157</v>
      </c>
      <c r="Y18">
        <f t="shared" si="22"/>
        <v>2.1698344073741738</v>
      </c>
      <c r="Z18">
        <f t="shared" si="23"/>
        <v>2.859892754021724</v>
      </c>
      <c r="AA18">
        <f t="shared" si="24"/>
        <v>6.1819865709655009</v>
      </c>
      <c r="AB18">
        <f t="shared" si="25"/>
        <v>10.893512851897185</v>
      </c>
      <c r="AC18">
        <f>(J18/T18)*100</f>
        <v>18.571428571428573</v>
      </c>
      <c r="AD18" s="16">
        <f t="shared" si="26"/>
        <v>0.34010765513994462</v>
      </c>
      <c r="AE18" s="16">
        <f t="shared" si="26"/>
        <v>5.9556477003062436E-2</v>
      </c>
      <c r="AF18" s="16">
        <f t="shared" si="26"/>
        <v>1.4245201411729358E-2</v>
      </c>
      <c r="AG18" s="16">
        <f t="shared" si="26"/>
        <v>0.3852425571875151</v>
      </c>
      <c r="AH18" s="16">
        <f t="shared" si="26"/>
        <v>0.37004614716949202</v>
      </c>
      <c r="AI18" s="16">
        <f t="shared" si="26"/>
        <v>0.27628203916992522</v>
      </c>
      <c r="AJ18" s="16">
        <f t="shared" si="26"/>
        <v>0.8923140268848968</v>
      </c>
      <c r="AK18" s="16">
        <f t="shared" si="26"/>
        <v>-0.48775978131543773</v>
      </c>
      <c r="AL18" s="16">
        <f t="shared" si="26"/>
        <v>3.2237067488866078</v>
      </c>
      <c r="AM18" s="14">
        <v>48233.8</v>
      </c>
      <c r="AN18" s="14">
        <v>144510.20000000001</v>
      </c>
      <c r="AO18" s="14">
        <v>15736</v>
      </c>
      <c r="AP18" s="14">
        <v>15985</v>
      </c>
      <c r="AQ18" s="14">
        <v>13305</v>
      </c>
      <c r="AR18" s="14">
        <v>8275</v>
      </c>
      <c r="AS18" s="14">
        <v>4500</v>
      </c>
      <c r="AT18" s="14">
        <v>2655</v>
      </c>
      <c r="AU18" s="14">
        <v>1091</v>
      </c>
      <c r="AV18" s="14">
        <v>46897.4</v>
      </c>
      <c r="AW18" s="14">
        <v>141138.6</v>
      </c>
      <c r="AX18" s="14">
        <v>14805</v>
      </c>
      <c r="AY18" s="14">
        <v>14621</v>
      </c>
      <c r="AZ18" s="14">
        <v>14247</v>
      </c>
      <c r="BA18" s="14">
        <v>11112</v>
      </c>
      <c r="BB18" s="14">
        <v>6229</v>
      </c>
      <c r="BC18" s="14">
        <v>2815</v>
      </c>
      <c r="BD18" s="14">
        <v>1516</v>
      </c>
      <c r="BE18" s="14">
        <v>43753</v>
      </c>
      <c r="BF18" s="14">
        <v>139035</v>
      </c>
      <c r="BG18" s="14">
        <v>15151</v>
      </c>
      <c r="BH18" s="14">
        <v>13960</v>
      </c>
      <c r="BI18" s="14">
        <v>13249</v>
      </c>
      <c r="BJ18" s="14">
        <v>12173</v>
      </c>
      <c r="BK18" s="14">
        <v>8627</v>
      </c>
      <c r="BL18" s="14">
        <v>4096</v>
      </c>
      <c r="BM18" s="14">
        <v>1816</v>
      </c>
      <c r="BN18" s="14">
        <f t="shared" si="27"/>
        <v>211.66402008409193</v>
      </c>
      <c r="BO18" s="14">
        <f t="shared" si="13"/>
        <v>516.07987775127401</v>
      </c>
      <c r="BP18" s="14">
        <f t="shared" si="13"/>
        <v>120.50131525106681</v>
      </c>
      <c r="BQ18" s="14">
        <f t="shared" si="13"/>
        <v>167.27668158608083</v>
      </c>
      <c r="BR18" s="14">
        <f t="shared" si="13"/>
        <v>260.47801615139895</v>
      </c>
      <c r="BS18" s="14">
        <f t="shared" si="13"/>
        <v>223.00288739172279</v>
      </c>
      <c r="BT18" s="14">
        <f t="shared" si="13"/>
        <v>229.21972678860848</v>
      </c>
      <c r="BU18" s="14">
        <f t="shared" si="13"/>
        <v>235.06119951040392</v>
      </c>
      <c r="BV18" s="14">
        <f t="shared" si="13"/>
        <v>177.1103896103896</v>
      </c>
      <c r="BW18" s="14">
        <f t="shared" si="28"/>
        <v>2140.3941141250375</v>
      </c>
      <c r="BX18" s="14">
        <f t="shared" si="29"/>
        <v>205.79950606196675</v>
      </c>
      <c r="BY18" s="14">
        <f t="shared" si="14"/>
        <v>504.03910197332755</v>
      </c>
      <c r="BZ18" s="14">
        <f t="shared" si="14"/>
        <v>113.37201145729817</v>
      </c>
      <c r="CA18" s="14">
        <f t="shared" si="14"/>
        <v>153.00296286957069</v>
      </c>
      <c r="CB18" s="14">
        <f t="shared" si="14"/>
        <v>278.91997715963782</v>
      </c>
      <c r="CC18" s="14">
        <f t="shared" si="14"/>
        <v>299.45717035611165</v>
      </c>
      <c r="CD18" s="14">
        <f t="shared" si="14"/>
        <v>317.29103959249829</v>
      </c>
      <c r="CE18" s="14">
        <f t="shared" si="14"/>
        <v>249.22684618523053</v>
      </c>
      <c r="CF18" s="14">
        <f t="shared" si="14"/>
        <v>246.10389610389609</v>
      </c>
      <c r="CG18" s="14">
        <f t="shared" si="30"/>
        <v>2367.2125117595378</v>
      </c>
      <c r="CH18" s="14">
        <f t="shared" si="31"/>
        <v>192.00095930113889</v>
      </c>
      <c r="CI18" s="14">
        <f t="shared" si="15"/>
        <v>496.52665211970071</v>
      </c>
      <c r="CJ18" s="14">
        <f t="shared" si="15"/>
        <v>116.02157011749576</v>
      </c>
      <c r="CK18" s="14">
        <f t="shared" si="15"/>
        <v>146.08586017777216</v>
      </c>
      <c r="CL18" s="14">
        <f t="shared" si="15"/>
        <v>259.38167876662044</v>
      </c>
      <c r="CM18" s="14">
        <f t="shared" si="15"/>
        <v>328.05004812319538</v>
      </c>
      <c r="CN18" s="14">
        <f t="shared" si="15"/>
        <v>439.43968511229451</v>
      </c>
      <c r="CO18" s="14">
        <f t="shared" si="15"/>
        <v>362.64055487556101</v>
      </c>
      <c r="CP18" s="14">
        <f t="shared" si="15"/>
        <v>294.80519480519479</v>
      </c>
      <c r="CQ18" s="14">
        <f t="shared" si="32"/>
        <v>2634.9522033989738</v>
      </c>
      <c r="CR18" s="14">
        <f t="shared" si="33"/>
        <v>237.31155602673181</v>
      </c>
      <c r="CS18" s="14">
        <f t="shared" si="16"/>
        <v>570.53079791776679</v>
      </c>
      <c r="CT18" s="14">
        <f t="shared" si="16"/>
        <v>136.08844076650846</v>
      </c>
      <c r="CU18" s="14">
        <f t="shared" si="16"/>
        <v>198.78738700827333</v>
      </c>
      <c r="CV18" s="14">
        <f t="shared" si="16"/>
        <v>315.59174484820181</v>
      </c>
      <c r="CW18" s="14">
        <f t="shared" si="16"/>
        <v>261.7095141593864</v>
      </c>
      <c r="CX18" s="14">
        <f t="shared" si="16"/>
        <v>264.99972986690625</v>
      </c>
      <c r="CY18" s="14">
        <f t="shared" si="16"/>
        <v>273.61482047615942</v>
      </c>
      <c r="CZ18" s="14">
        <f t="shared" si="16"/>
        <v>178.01930144196328</v>
      </c>
      <c r="DA18" s="14">
        <f t="shared" si="34"/>
        <v>2436.6532925118977</v>
      </c>
      <c r="DB18" s="14">
        <f t="shared" si="35"/>
        <v>272.29797820481321</v>
      </c>
      <c r="DC18" s="14">
        <f t="shared" si="17"/>
        <v>645.85380462196304</v>
      </c>
      <c r="DD18" s="14">
        <f t="shared" si="17"/>
        <v>152.47850073981195</v>
      </c>
      <c r="DE18" s="14">
        <f t="shared" si="17"/>
        <v>229.86135494178455</v>
      </c>
      <c r="DF18" s="14">
        <f t="shared" si="17"/>
        <v>436.29545860638217</v>
      </c>
      <c r="DG18" s="14">
        <f t="shared" si="17"/>
        <v>438.06197571918199</v>
      </c>
      <c r="DH18" s="14">
        <f t="shared" si="17"/>
        <v>449.36430725158988</v>
      </c>
      <c r="DI18" s="14">
        <f t="shared" si="17"/>
        <v>358.23218757240107</v>
      </c>
      <c r="DJ18" s="14">
        <f t="shared" si="17"/>
        <v>249.47184070925076</v>
      </c>
      <c r="DK18" s="14">
        <f t="shared" si="36"/>
        <v>3231.9174083671787</v>
      </c>
      <c r="DL18" s="14">
        <f t="shared" si="37"/>
        <v>292.81571521419983</v>
      </c>
      <c r="DM18" s="14">
        <f t="shared" si="18"/>
        <v>723.54081884640527</v>
      </c>
      <c r="DN18" s="14">
        <f t="shared" si="18"/>
        <v>181.05476370540319</v>
      </c>
      <c r="DO18" s="14">
        <f t="shared" si="18"/>
        <v>265.33438108319393</v>
      </c>
      <c r="DP18" s="14">
        <f t="shared" si="18"/>
        <v>497.20263052789409</v>
      </c>
      <c r="DQ18" s="14">
        <f t="shared" si="18"/>
        <v>574.78861728154368</v>
      </c>
      <c r="DR18" s="14">
        <f t="shared" si="18"/>
        <v>736.68139809260401</v>
      </c>
      <c r="DS18" s="14">
        <f t="shared" si="18"/>
        <v>620.38107078071471</v>
      </c>
      <c r="DT18" s="14">
        <f t="shared" si="18"/>
        <v>301.36113446904812</v>
      </c>
      <c r="DU18" s="14">
        <f t="shared" si="38"/>
        <v>4193.1605300010069</v>
      </c>
    </row>
    <row r="19" spans="1:125" x14ac:dyDescent="0.25">
      <c r="A19" t="s">
        <v>24</v>
      </c>
      <c r="B19" s="13">
        <v>215</v>
      </c>
      <c r="C19" s="13">
        <v>527</v>
      </c>
      <c r="D19" s="13">
        <v>131</v>
      </c>
      <c r="E19" s="13">
        <v>166</v>
      </c>
      <c r="F19" s="13">
        <v>240</v>
      </c>
      <c r="G19" s="13">
        <v>196</v>
      </c>
      <c r="H19" s="13">
        <v>220</v>
      </c>
      <c r="I19" s="13">
        <v>217</v>
      </c>
      <c r="J19" s="13">
        <v>125</v>
      </c>
      <c r="K19" s="14">
        <f t="shared" si="1"/>
        <v>2037</v>
      </c>
      <c r="L19" s="14">
        <v>48994</v>
      </c>
      <c r="M19" s="14">
        <v>147568</v>
      </c>
      <c r="N19" s="14">
        <v>17107</v>
      </c>
      <c r="O19" s="14">
        <v>15863</v>
      </c>
      <c r="P19" s="14">
        <v>12259</v>
      </c>
      <c r="Q19" s="14">
        <v>7273</v>
      </c>
      <c r="R19" s="14">
        <v>4319</v>
      </c>
      <c r="S19" s="14">
        <v>2451</v>
      </c>
      <c r="T19" s="14">
        <v>770</v>
      </c>
      <c r="U19">
        <f t="shared" si="2"/>
        <v>0.43882924439727311</v>
      </c>
      <c r="V19">
        <f t="shared" si="19"/>
        <v>0.35712349560880408</v>
      </c>
      <c r="W19">
        <f t="shared" si="20"/>
        <v>0.76576839890103465</v>
      </c>
      <c r="X19">
        <f t="shared" si="21"/>
        <v>1.046460316459686</v>
      </c>
      <c r="Y19">
        <f t="shared" si="22"/>
        <v>1.9577453299616607</v>
      </c>
      <c r="Z19">
        <f t="shared" si="23"/>
        <v>2.6948989412897015</v>
      </c>
      <c r="AA19">
        <f t="shared" si="24"/>
        <v>5.0937717064135217</v>
      </c>
      <c r="AB19">
        <f t="shared" si="25"/>
        <v>8.8535291717666258</v>
      </c>
      <c r="AC19">
        <f>(J19/T19)*100</f>
        <v>16.233766233766232</v>
      </c>
      <c r="AD19" s="16">
        <f t="shared" si="26"/>
        <v>0.10634673586837395</v>
      </c>
      <c r="AE19" s="16">
        <f t="shared" si="26"/>
        <v>7.5359275907849854E-2</v>
      </c>
      <c r="AF19" s="16">
        <f t="shared" si="26"/>
        <v>0.19810784844231899</v>
      </c>
      <c r="AG19" s="16">
        <f t="shared" si="26"/>
        <v>0.39425343036837701</v>
      </c>
      <c r="AH19" s="16">
        <f t="shared" si="26"/>
        <v>0.82846642159793871</v>
      </c>
      <c r="AI19" s="16">
        <f t="shared" si="26"/>
        <v>0.93550759559307761</v>
      </c>
      <c r="AJ19" s="16">
        <f t="shared" si="26"/>
        <v>1.5902223590354589</v>
      </c>
      <c r="AK19" s="16">
        <f t="shared" si="26"/>
        <v>2.9042275680418452</v>
      </c>
      <c r="AL19" s="16">
        <f t="shared" si="26"/>
        <v>0.1666199507926116</v>
      </c>
      <c r="AM19" s="14">
        <v>48233.8</v>
      </c>
      <c r="AN19" s="14">
        <v>144510.20000000001</v>
      </c>
      <c r="AO19" s="14">
        <v>15736</v>
      </c>
      <c r="AP19" s="14">
        <v>15985</v>
      </c>
      <c r="AQ19" s="14">
        <v>13305</v>
      </c>
      <c r="AR19" s="14">
        <v>8275</v>
      </c>
      <c r="AS19" s="14">
        <v>4500</v>
      </c>
      <c r="AT19" s="14">
        <v>2655</v>
      </c>
      <c r="AU19" s="14">
        <v>1091</v>
      </c>
      <c r="AV19" s="14">
        <v>46897.4</v>
      </c>
      <c r="AW19" s="14">
        <v>141138.6</v>
      </c>
      <c r="AX19" s="14">
        <v>14805</v>
      </c>
      <c r="AY19" s="14">
        <v>14621</v>
      </c>
      <c r="AZ19" s="14">
        <v>14247</v>
      </c>
      <c r="BA19" s="14">
        <v>11112</v>
      </c>
      <c r="BB19" s="14">
        <v>6229</v>
      </c>
      <c r="BC19" s="14">
        <v>2815</v>
      </c>
      <c r="BD19" s="14">
        <v>1516</v>
      </c>
      <c r="BE19" s="14">
        <v>43753</v>
      </c>
      <c r="BF19" s="14">
        <v>139035</v>
      </c>
      <c r="BG19" s="14">
        <v>15151</v>
      </c>
      <c r="BH19" s="14">
        <v>13960</v>
      </c>
      <c r="BI19" s="14">
        <v>13249</v>
      </c>
      <c r="BJ19" s="14">
        <v>12173</v>
      </c>
      <c r="BK19" s="14">
        <v>8627</v>
      </c>
      <c r="BL19" s="14">
        <v>4096</v>
      </c>
      <c r="BM19" s="14">
        <v>1816</v>
      </c>
      <c r="BN19" s="14">
        <f t="shared" si="27"/>
        <v>151.61050740907049</v>
      </c>
      <c r="BO19" s="14">
        <f t="shared" si="13"/>
        <v>387.79436734251328</v>
      </c>
      <c r="BP19" s="14">
        <f t="shared" si="13"/>
        <v>58.870871573040276</v>
      </c>
      <c r="BQ19" s="14">
        <f t="shared" si="13"/>
        <v>73.561432263758434</v>
      </c>
      <c r="BR19" s="14">
        <f t="shared" si="13"/>
        <v>82.484705114609682</v>
      </c>
      <c r="BS19" s="14">
        <f t="shared" si="13"/>
        <v>92.159356524130359</v>
      </c>
      <c r="BT19" s="14">
        <f t="shared" si="13"/>
        <v>95.855522111599896</v>
      </c>
      <c r="BU19" s="14">
        <f t="shared" si="13"/>
        <v>97.490820073439409</v>
      </c>
      <c r="BV19" s="14">
        <f t="shared" si="13"/>
        <v>73.677922077922076</v>
      </c>
      <c r="BW19" s="14">
        <f t="shared" si="28"/>
        <v>1113.5055044900839</v>
      </c>
      <c r="BX19" s="14">
        <f t="shared" si="29"/>
        <v>147.40987876066455</v>
      </c>
      <c r="BY19" s="14">
        <f t="shared" si="14"/>
        <v>378.74664968014747</v>
      </c>
      <c r="BZ19" s="14">
        <f t="shared" si="14"/>
        <v>55.38785292570293</v>
      </c>
      <c r="CA19" s="14">
        <f t="shared" si="14"/>
        <v>67.284435478787117</v>
      </c>
      <c r="CB19" s="14">
        <f t="shared" si="14"/>
        <v>88.324659433885316</v>
      </c>
      <c r="CC19" s="14">
        <f t="shared" si="14"/>
        <v>123.75525917778084</v>
      </c>
      <c r="CD19" s="14">
        <f t="shared" si="14"/>
        <v>132.68534382959018</v>
      </c>
      <c r="CE19" s="14">
        <f t="shared" si="14"/>
        <v>103.36597307221543</v>
      </c>
      <c r="CF19" s="14">
        <f t="shared" si="14"/>
        <v>102.37922077922077</v>
      </c>
      <c r="CG19" s="14">
        <f t="shared" si="30"/>
        <v>1199.3392731379947</v>
      </c>
      <c r="CH19" s="14">
        <f t="shared" si="31"/>
        <v>137.52626852267625</v>
      </c>
      <c r="CI19" s="14">
        <f t="shared" si="15"/>
        <v>373.10162094763086</v>
      </c>
      <c r="CJ19" s="14">
        <f t="shared" si="15"/>
        <v>56.682293797860531</v>
      </c>
      <c r="CK19" s="14">
        <f t="shared" si="15"/>
        <v>64.242577066128732</v>
      </c>
      <c r="CL19" s="14">
        <f t="shared" si="15"/>
        <v>82.1375316094298</v>
      </c>
      <c r="CM19" s="14">
        <f t="shared" si="15"/>
        <v>135.57170356111646</v>
      </c>
      <c r="CN19" s="14">
        <f t="shared" si="15"/>
        <v>183.76568650150497</v>
      </c>
      <c r="CO19" s="14">
        <f t="shared" si="15"/>
        <v>150.40391676866585</v>
      </c>
      <c r="CP19" s="14">
        <f t="shared" si="15"/>
        <v>122.63896103896103</v>
      </c>
      <c r="CQ19" s="14">
        <f t="shared" si="32"/>
        <v>1306.0705598139743</v>
      </c>
      <c r="CR19" s="14">
        <f t="shared" si="33"/>
        <v>139.26264362543881</v>
      </c>
      <c r="CS19" s="14">
        <f t="shared" si="16"/>
        <v>419.75637751178397</v>
      </c>
      <c r="CT19" s="14">
        <f t="shared" si="16"/>
        <v>75.223050478826465</v>
      </c>
      <c r="CU19" s="14">
        <f t="shared" si="16"/>
        <v>77.610842465105264</v>
      </c>
      <c r="CV19" s="14">
        <f t="shared" si="16"/>
        <v>80.686533027755004</v>
      </c>
      <c r="CW19" s="14">
        <f t="shared" si="16"/>
        <v>94.955630126186009</v>
      </c>
      <c r="CX19" s="14">
        <f t="shared" si="16"/>
        <v>107.20210615801126</v>
      </c>
      <c r="CY19" s="14">
        <f t="shared" si="16"/>
        <v>116.70570760627916</v>
      </c>
      <c r="CZ19" s="14">
        <f t="shared" si="16"/>
        <v>79.121199663645697</v>
      </c>
      <c r="DA19" s="14">
        <f t="shared" si="34"/>
        <v>1190.5240906630318</v>
      </c>
      <c r="DB19" s="14">
        <f t="shared" si="35"/>
        <v>115.3945585491676</v>
      </c>
      <c r="DC19" s="14">
        <f t="shared" si="17"/>
        <v>461.99010919099396</v>
      </c>
      <c r="DD19" s="14">
        <f t="shared" si="17"/>
        <v>96.413782208903172</v>
      </c>
      <c r="DE19" s="14">
        <f t="shared" si="17"/>
        <v>77.161432922872976</v>
      </c>
      <c r="DF19" s="14">
        <f t="shared" si="17"/>
        <v>83.190036816539759</v>
      </c>
      <c r="DG19" s="14">
        <f t="shared" si="17"/>
        <v>133.76845306009065</v>
      </c>
      <c r="DH19" s="14">
        <f t="shared" si="17"/>
        <v>174.56852725186948</v>
      </c>
      <c r="DI19" s="14">
        <f t="shared" si="17"/>
        <v>157.69356469048921</v>
      </c>
      <c r="DJ19" s="14">
        <f t="shared" si="17"/>
        <v>122.54911706998035</v>
      </c>
      <c r="DK19" s="14">
        <f t="shared" si="36"/>
        <v>1422.7295817609074</v>
      </c>
      <c r="DL19" s="14">
        <f t="shared" si="37"/>
        <v>88.989564015131165</v>
      </c>
      <c r="DM19" s="14">
        <f t="shared" si="18"/>
        <v>506.35610192428879</v>
      </c>
      <c r="DN19" s="14">
        <f t="shared" si="18"/>
        <v>124.90747202655835</v>
      </c>
      <c r="DO19" s="14">
        <f t="shared" si="18"/>
        <v>79.567088865532838</v>
      </c>
      <c r="DP19" s="14">
        <f t="shared" si="18"/>
        <v>74.378248990775475</v>
      </c>
      <c r="DQ19" s="14">
        <f t="shared" si="18"/>
        <v>153.39677914023866</v>
      </c>
      <c r="DR19" s="14">
        <f t="shared" si="18"/>
        <v>278.0272233451405</v>
      </c>
      <c r="DS19" s="14">
        <f t="shared" si="18"/>
        <v>278.86020444583465</v>
      </c>
      <c r="DT19" s="14">
        <f t="shared" si="18"/>
        <v>161.90107446510319</v>
      </c>
      <c r="DU19" s="14">
        <f t="shared" si="38"/>
        <v>1746.3837572186037</v>
      </c>
    </row>
    <row r="20" spans="1:125" x14ac:dyDescent="0.25">
      <c r="A20" t="s">
        <v>25</v>
      </c>
      <c r="B20" s="13">
        <v>154</v>
      </c>
      <c r="C20" s="13">
        <v>396</v>
      </c>
      <c r="D20" s="13">
        <v>64</v>
      </c>
      <c r="E20" s="13">
        <v>73</v>
      </c>
      <c r="F20" s="13">
        <v>76</v>
      </c>
      <c r="G20" s="13">
        <v>81</v>
      </c>
      <c r="H20" s="13">
        <v>92</v>
      </c>
      <c r="I20" s="13">
        <v>90</v>
      </c>
      <c r="J20" s="13">
        <v>52</v>
      </c>
      <c r="K20" s="14">
        <f t="shared" si="1"/>
        <v>1078</v>
      </c>
      <c r="L20" s="14">
        <v>48994</v>
      </c>
      <c r="M20" s="14">
        <v>147568</v>
      </c>
      <c r="N20" s="14">
        <v>17107</v>
      </c>
      <c r="O20" s="14">
        <v>15863</v>
      </c>
      <c r="P20" s="14">
        <v>12259</v>
      </c>
      <c r="Q20" s="14">
        <v>7273</v>
      </c>
      <c r="R20" s="14">
        <v>4319</v>
      </c>
      <c r="S20" s="14">
        <v>2451</v>
      </c>
      <c r="T20" s="14">
        <v>770</v>
      </c>
      <c r="U20">
        <f t="shared" si="2"/>
        <v>0.31432420296362817</v>
      </c>
      <c r="V20">
        <f t="shared" si="19"/>
        <v>0.26835086197549601</v>
      </c>
      <c r="W20">
        <f t="shared" si="20"/>
        <v>0.37411585900508565</v>
      </c>
      <c r="X20">
        <f t="shared" si="21"/>
        <v>0.46019038012986196</v>
      </c>
      <c r="Y20">
        <f t="shared" si="22"/>
        <v>0.61995268782119262</v>
      </c>
      <c r="Z20">
        <f t="shared" si="23"/>
        <v>1.1137082359411523</v>
      </c>
      <c r="AA20">
        <f t="shared" si="24"/>
        <v>2.1301227135911089</v>
      </c>
      <c r="AB20">
        <f t="shared" si="25"/>
        <v>3.6719706242350063</v>
      </c>
      <c r="AC20">
        <f>(J20/T20)*100</f>
        <v>6.7532467532467528</v>
      </c>
      <c r="AD20" s="16">
        <f t="shared" si="26"/>
        <v>-5.1200045543298212E-2</v>
      </c>
      <c r="AE20" s="16">
        <f t="shared" si="26"/>
        <v>4.4234953891518602E-2</v>
      </c>
      <c r="AF20" s="16">
        <f t="shared" si="26"/>
        <v>0.20783145533536088</v>
      </c>
      <c r="AG20" s="16">
        <f t="shared" si="26"/>
        <v>5.0665126072528488E-2</v>
      </c>
      <c r="AH20" s="16">
        <f t="shared" si="26"/>
        <v>-2.7030020095523022E-2</v>
      </c>
      <c r="AI20" s="16">
        <f t="shared" si="26"/>
        <v>6.7583652013430084E-2</v>
      </c>
      <c r="AJ20" s="16">
        <f t="shared" si="26"/>
        <v>0.50429262428494925</v>
      </c>
      <c r="AK20" s="16">
        <f t="shared" si="26"/>
        <v>1.4474491550161752</v>
      </c>
      <c r="AL20" s="16">
        <f t="shared" si="26"/>
        <v>0.99785106979351479</v>
      </c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>
        <f>SUM(BN16:BN19)</f>
        <v>1156.768481854921</v>
      </c>
      <c r="BO20" s="14">
        <f t="shared" ref="BO20:BV20" si="39">SUM(BO16:BO19)</f>
        <v>1955.6195747045431</v>
      </c>
      <c r="BP20" s="14">
        <f t="shared" si="39"/>
        <v>472.80668732097968</v>
      </c>
      <c r="BQ20" s="14">
        <f t="shared" si="39"/>
        <v>689.26054340288727</v>
      </c>
      <c r="BR20" s="14">
        <f t="shared" si="39"/>
        <v>831.35900154988167</v>
      </c>
      <c r="BS20" s="14">
        <f t="shared" si="39"/>
        <v>760.03024886566743</v>
      </c>
      <c r="BT20" s="14">
        <f t="shared" si="39"/>
        <v>809.56239870340346</v>
      </c>
      <c r="BU20" s="14">
        <f t="shared" si="39"/>
        <v>799.42472460220324</v>
      </c>
      <c r="BV20" s="14">
        <f t="shared" si="39"/>
        <v>566.75324675324669</v>
      </c>
      <c r="BW20" s="14">
        <f t="shared" si="28"/>
        <v>8041.5849077577332</v>
      </c>
      <c r="BX20" s="14">
        <f>SUM(BX16:BX19)</f>
        <v>1124.7182308037718</v>
      </c>
      <c r="BY20" s="14">
        <f t="shared" ref="BY20:CF20" si="40">SUM(BY16:BY19)</f>
        <v>1909.9925742708447</v>
      </c>
      <c r="BZ20" s="14">
        <f t="shared" si="40"/>
        <v>444.83369380955162</v>
      </c>
      <c r="CA20" s="14">
        <f t="shared" si="40"/>
        <v>630.44594339027935</v>
      </c>
      <c r="CB20" s="14">
        <f t="shared" si="40"/>
        <v>890.219593767844</v>
      </c>
      <c r="CC20" s="14">
        <f t="shared" si="40"/>
        <v>1020.5989275402172</v>
      </c>
      <c r="CD20" s="14">
        <f t="shared" si="40"/>
        <v>1120.6142625607779</v>
      </c>
      <c r="CE20" s="14">
        <f t="shared" si="40"/>
        <v>847.60097919216651</v>
      </c>
      <c r="CF20" s="14">
        <f t="shared" si="40"/>
        <v>787.53246753246754</v>
      </c>
      <c r="CG20" s="14">
        <f t="shared" ref="CG20" si="41">SUM(BX20:CF20)</f>
        <v>8776.5566728679223</v>
      </c>
      <c r="CH20" s="14">
        <f>SUM(CH16:CH19)</f>
        <v>1049.307568273666</v>
      </c>
      <c r="CI20" s="14">
        <f t="shared" ref="CI20:CP20" si="42">SUM(CI16:CI19)</f>
        <v>1881.5250935162094</v>
      </c>
      <c r="CJ20" s="14">
        <f t="shared" si="42"/>
        <v>455.2296720640673</v>
      </c>
      <c r="CK20" s="14">
        <f t="shared" si="42"/>
        <v>601.94414675660346</v>
      </c>
      <c r="CL20" s="14">
        <f t="shared" si="42"/>
        <v>827.85985806346343</v>
      </c>
      <c r="CM20" s="14">
        <f t="shared" si="42"/>
        <v>1118.0481231953802</v>
      </c>
      <c r="CN20" s="14">
        <f t="shared" si="42"/>
        <v>1552.0210696920583</v>
      </c>
      <c r="CO20" s="14">
        <f t="shared" si="42"/>
        <v>1233.3121175030601</v>
      </c>
      <c r="CP20" s="14">
        <f t="shared" si="42"/>
        <v>943.37662337662346</v>
      </c>
      <c r="CQ20" s="14">
        <f>SUM(CQ16:CQ19)</f>
        <v>9662.6242724411313</v>
      </c>
      <c r="CR20" s="14">
        <f t="shared" ref="CR20:DA20" si="43">SUM(CR16:CR19)</f>
        <v>1302.3557787303077</v>
      </c>
      <c r="CS20" s="14">
        <f t="shared" si="43"/>
        <v>2103.6286030423025</v>
      </c>
      <c r="CT20" s="14">
        <f t="shared" si="43"/>
        <v>491.75727868789153</v>
      </c>
      <c r="CU20" s="14">
        <f t="shared" si="43"/>
        <v>744.15814408961819</v>
      </c>
      <c r="CV20" s="14">
        <f t="shared" si="43"/>
        <v>912.8875200874387</v>
      </c>
      <c r="CW20" s="14">
        <f t="shared" si="43"/>
        <v>791.15489937236407</v>
      </c>
      <c r="CX20" s="14">
        <f t="shared" si="43"/>
        <v>838.22727105716626</v>
      </c>
      <c r="CY20" s="14">
        <f t="shared" si="43"/>
        <v>783.64950283708652</v>
      </c>
      <c r="CZ20" s="14">
        <f t="shared" si="43"/>
        <v>564.95241209629694</v>
      </c>
      <c r="DA20" s="14">
        <f t="shared" si="43"/>
        <v>8532.7714100004723</v>
      </c>
      <c r="DB20" s="14">
        <f>SUM(DB16:DB19)</f>
        <v>1502.1943683661596</v>
      </c>
      <c r="DC20" s="14">
        <f t="shared" ref="DC20:DK20" si="44">SUM(DC16:DC19)</f>
        <v>2295.4746979677966</v>
      </c>
      <c r="DD20" s="14">
        <f t="shared" si="44"/>
        <v>492.3787717941525</v>
      </c>
      <c r="DE20" s="14">
        <f t="shared" si="44"/>
        <v>764.34777963520787</v>
      </c>
      <c r="DF20" s="14">
        <f t="shared" si="44"/>
        <v>1123.0216588771161</v>
      </c>
      <c r="DG20" s="14">
        <f t="shared" si="44"/>
        <v>1132.053386007218</v>
      </c>
      <c r="DH20" s="14">
        <f t="shared" si="44"/>
        <v>1226.4237380520892</v>
      </c>
      <c r="DI20" s="14">
        <f t="shared" si="44"/>
        <v>804.27088858509001</v>
      </c>
      <c r="DJ20" s="14">
        <f t="shared" si="44"/>
        <v>780.85953055737218</v>
      </c>
      <c r="DK20" s="14">
        <f t="shared" si="44"/>
        <v>10121.024819842201</v>
      </c>
      <c r="DL20" s="14">
        <f>SUM(DL16:DL19)</f>
        <v>1621.5788317338283</v>
      </c>
      <c r="DM20" s="14">
        <f t="shared" ref="DM20:DU20" si="45">SUM(DM16:DM19)</f>
        <v>2498.5972409360811</v>
      </c>
      <c r="DN20" s="14">
        <f t="shared" si="45"/>
        <v>534.29604486954645</v>
      </c>
      <c r="DO20" s="14">
        <f t="shared" si="45"/>
        <v>809.69759421000651</v>
      </c>
      <c r="DP20" s="14">
        <f t="shared" si="45"/>
        <v>1179.663126192067</v>
      </c>
      <c r="DQ20" s="14">
        <f t="shared" si="45"/>
        <v>1316.4547623911189</v>
      </c>
      <c r="DR20" s="14">
        <f t="shared" si="45"/>
        <v>1790.1539659399723</v>
      </c>
      <c r="DS20" s="14">
        <f t="shared" si="45"/>
        <v>1302.1525069144507</v>
      </c>
      <c r="DT20" s="14">
        <f t="shared" si="45"/>
        <v>930.38728497721308</v>
      </c>
      <c r="DU20" s="14">
        <f t="shared" si="45"/>
        <v>11982.981358164285</v>
      </c>
    </row>
    <row r="21" spans="1:125" x14ac:dyDescent="0.25">
      <c r="A21" t="s">
        <v>61</v>
      </c>
      <c r="B21" s="13">
        <f>SUM(B17:B20)</f>
        <v>1175</v>
      </c>
      <c r="C21" s="13">
        <f t="shared" ref="C21:J21" si="46">SUM(C17:C20)</f>
        <v>1997</v>
      </c>
      <c r="D21" s="13">
        <f t="shared" si="46"/>
        <v>514</v>
      </c>
      <c r="E21" s="13">
        <f t="shared" si="46"/>
        <v>684</v>
      </c>
      <c r="F21" s="13">
        <f t="shared" si="46"/>
        <v>766</v>
      </c>
      <c r="G21" s="13">
        <f t="shared" si="46"/>
        <v>668</v>
      </c>
      <c r="H21" s="13">
        <f t="shared" si="46"/>
        <v>777</v>
      </c>
      <c r="I21" s="13">
        <f t="shared" si="46"/>
        <v>738</v>
      </c>
      <c r="J21" s="13">
        <f t="shared" si="46"/>
        <v>400</v>
      </c>
      <c r="K21" s="14">
        <f t="shared" si="1"/>
        <v>7719</v>
      </c>
      <c r="L21" s="14"/>
      <c r="M21" s="14"/>
      <c r="N21" s="14"/>
      <c r="O21" s="14"/>
      <c r="P21" s="14"/>
      <c r="Q21" s="14"/>
      <c r="R21" s="14"/>
      <c r="S21" s="14"/>
      <c r="T21" s="14"/>
      <c r="AD21" s="16"/>
      <c r="AE21" s="16"/>
      <c r="AF21" s="16"/>
      <c r="AG21" s="16"/>
      <c r="AH21" s="16"/>
      <c r="AI21" s="16"/>
      <c r="AJ21" s="16"/>
      <c r="AK21" s="16"/>
      <c r="AL21" s="16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CH21" s="14"/>
      <c r="CR21" s="14"/>
      <c r="DA21" s="13"/>
      <c r="DB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</row>
    <row r="22" spans="1:125" x14ac:dyDescent="0.25">
      <c r="B22" s="13"/>
      <c r="C22" s="13"/>
      <c r="D22" s="13"/>
      <c r="E22" s="13"/>
      <c r="F22" s="13"/>
      <c r="G22" s="13"/>
      <c r="H22" s="13"/>
      <c r="I22" s="13"/>
      <c r="J22" s="13"/>
      <c r="L22" s="13"/>
      <c r="M22" s="13"/>
      <c r="N22" s="13"/>
      <c r="O22" s="13"/>
      <c r="P22" s="13"/>
      <c r="Q22" s="13"/>
      <c r="R22" s="13"/>
      <c r="S22" s="13"/>
      <c r="T22" s="13"/>
      <c r="AM22" s="13" t="s">
        <v>8</v>
      </c>
      <c r="AN22" s="13" t="s">
        <v>9</v>
      </c>
      <c r="AO22" s="13" t="s">
        <v>10</v>
      </c>
      <c r="AP22" s="13" t="s">
        <v>11</v>
      </c>
      <c r="AQ22" s="13" t="s">
        <v>12</v>
      </c>
      <c r="AR22" s="13" t="s">
        <v>13</v>
      </c>
      <c r="AS22" s="13" t="s">
        <v>14</v>
      </c>
      <c r="AT22" s="13" t="s">
        <v>15</v>
      </c>
      <c r="AU22" s="13" t="s">
        <v>16</v>
      </c>
      <c r="AV22" s="13" t="s">
        <v>8</v>
      </c>
      <c r="AW22" s="13" t="s">
        <v>9</v>
      </c>
      <c r="AX22" s="13" t="s">
        <v>10</v>
      </c>
      <c r="AY22" s="13" t="s">
        <v>11</v>
      </c>
      <c r="AZ22" s="13" t="s">
        <v>12</v>
      </c>
      <c r="BA22" s="13" t="s">
        <v>13</v>
      </c>
      <c r="BB22" s="13" t="s">
        <v>14</v>
      </c>
      <c r="BC22" s="13" t="s">
        <v>15</v>
      </c>
      <c r="BD22" s="13" t="s">
        <v>16</v>
      </c>
      <c r="BE22" s="13" t="s">
        <v>8</v>
      </c>
      <c r="BF22" s="13" t="s">
        <v>9</v>
      </c>
      <c r="BG22" s="13" t="s">
        <v>10</v>
      </c>
      <c r="BH22" s="13" t="s">
        <v>11</v>
      </c>
      <c r="BI22" s="13" t="s">
        <v>12</v>
      </c>
      <c r="BJ22" s="13" t="s">
        <v>13</v>
      </c>
      <c r="BK22" s="13" t="s">
        <v>14</v>
      </c>
      <c r="BL22" s="13" t="s">
        <v>15</v>
      </c>
      <c r="BM22" s="13" t="s">
        <v>16</v>
      </c>
      <c r="BN22" s="13" t="s">
        <v>8</v>
      </c>
      <c r="BO22" s="13" t="s">
        <v>9</v>
      </c>
      <c r="BP22" s="13" t="s">
        <v>10</v>
      </c>
      <c r="BQ22" s="13" t="s">
        <v>11</v>
      </c>
      <c r="BR22" s="13" t="s">
        <v>12</v>
      </c>
      <c r="BS22" s="13" t="s">
        <v>13</v>
      </c>
      <c r="BT22" s="13" t="s">
        <v>14</v>
      </c>
      <c r="BU22" s="13" t="s">
        <v>15</v>
      </c>
      <c r="BV22" s="13" t="s">
        <v>16</v>
      </c>
      <c r="BW22" s="13" t="s">
        <v>61</v>
      </c>
      <c r="BX22" s="13" t="s">
        <v>8</v>
      </c>
      <c r="BY22" s="13" t="s">
        <v>9</v>
      </c>
      <c r="BZ22" s="13" t="s">
        <v>10</v>
      </c>
      <c r="CA22" s="13" t="s">
        <v>11</v>
      </c>
      <c r="CB22" s="13" t="s">
        <v>12</v>
      </c>
      <c r="CC22" s="13" t="s">
        <v>13</v>
      </c>
      <c r="CD22" s="13" t="s">
        <v>14</v>
      </c>
      <c r="CE22" s="13" t="s">
        <v>15</v>
      </c>
      <c r="CF22" s="13" t="s">
        <v>16</v>
      </c>
      <c r="CG22" s="13" t="s">
        <v>61</v>
      </c>
      <c r="CH22" s="13" t="s">
        <v>8</v>
      </c>
      <c r="CI22" s="13" t="s">
        <v>9</v>
      </c>
      <c r="CJ22" s="13" t="s">
        <v>10</v>
      </c>
      <c r="CK22" s="13" t="s">
        <v>11</v>
      </c>
      <c r="CL22" s="13" t="s">
        <v>12</v>
      </c>
      <c r="CM22" s="13" t="s">
        <v>13</v>
      </c>
      <c r="CN22" s="13" t="s">
        <v>14</v>
      </c>
      <c r="CO22" s="13" t="s">
        <v>15</v>
      </c>
      <c r="CP22" s="13" t="s">
        <v>16</v>
      </c>
      <c r="CQ22" s="13" t="s">
        <v>61</v>
      </c>
      <c r="CR22" s="13" t="s">
        <v>8</v>
      </c>
      <c r="CS22" s="13" t="s">
        <v>9</v>
      </c>
      <c r="CT22" s="13" t="s">
        <v>10</v>
      </c>
      <c r="CU22" s="13" t="s">
        <v>11</v>
      </c>
      <c r="CV22" s="13" t="s">
        <v>12</v>
      </c>
      <c r="CW22" s="13" t="s">
        <v>13</v>
      </c>
      <c r="CX22" s="13" t="s">
        <v>14</v>
      </c>
      <c r="CY22" s="13" t="s">
        <v>15</v>
      </c>
      <c r="CZ22" s="13" t="s">
        <v>16</v>
      </c>
      <c r="DA22" s="13" t="s">
        <v>61</v>
      </c>
      <c r="DB22" s="13" t="s">
        <v>8</v>
      </c>
      <c r="DC22" s="13" t="s">
        <v>9</v>
      </c>
      <c r="DD22" s="13" t="s">
        <v>10</v>
      </c>
      <c r="DE22" s="13" t="s">
        <v>11</v>
      </c>
      <c r="DF22" s="13" t="s">
        <v>12</v>
      </c>
      <c r="DG22" s="13" t="s">
        <v>13</v>
      </c>
      <c r="DH22" s="13" t="s">
        <v>14</v>
      </c>
      <c r="DI22" s="13" t="s">
        <v>15</v>
      </c>
      <c r="DJ22" s="13" t="s">
        <v>16</v>
      </c>
      <c r="DK22" s="13" t="s">
        <v>61</v>
      </c>
      <c r="DL22" s="13" t="s">
        <v>8</v>
      </c>
      <c r="DM22" s="13" t="s">
        <v>9</v>
      </c>
      <c r="DN22" s="13" t="s">
        <v>10</v>
      </c>
      <c r="DO22" s="13" t="s">
        <v>11</v>
      </c>
      <c r="DP22" s="13" t="s">
        <v>12</v>
      </c>
      <c r="DQ22" s="13" t="s">
        <v>13</v>
      </c>
      <c r="DR22" s="13" t="s">
        <v>14</v>
      </c>
      <c r="DS22" s="13" t="s">
        <v>15</v>
      </c>
      <c r="DT22" s="13" t="s">
        <v>16</v>
      </c>
      <c r="DU22" s="13" t="s">
        <v>61</v>
      </c>
    </row>
    <row r="23" spans="1:125" x14ac:dyDescent="0.25">
      <c r="A23" t="s">
        <v>57</v>
      </c>
      <c r="B23" s="13" t="s">
        <v>8</v>
      </c>
      <c r="C23" s="13" t="s">
        <v>9</v>
      </c>
      <c r="D23" s="13" t="s">
        <v>10</v>
      </c>
      <c r="E23" s="13" t="s">
        <v>11</v>
      </c>
      <c r="F23" s="13" t="s">
        <v>12</v>
      </c>
      <c r="G23" s="13" t="s">
        <v>13</v>
      </c>
      <c r="H23" s="13" t="s">
        <v>14</v>
      </c>
      <c r="I23" s="13" t="s">
        <v>15</v>
      </c>
      <c r="J23" s="13" t="s">
        <v>16</v>
      </c>
      <c r="K23" s="13" t="s">
        <v>61</v>
      </c>
      <c r="L23" s="13" t="s">
        <v>8</v>
      </c>
      <c r="M23" s="13" t="s">
        <v>9</v>
      </c>
      <c r="N23" s="13" t="s">
        <v>10</v>
      </c>
      <c r="O23" s="13" t="s">
        <v>11</v>
      </c>
      <c r="P23" s="13" t="s">
        <v>12</v>
      </c>
      <c r="Q23" s="13" t="s">
        <v>13</v>
      </c>
      <c r="R23" s="13" t="s">
        <v>14</v>
      </c>
      <c r="S23" s="13" t="s">
        <v>15</v>
      </c>
      <c r="T23" s="13" t="s">
        <v>16</v>
      </c>
      <c r="U23" s="13" t="s">
        <v>8</v>
      </c>
      <c r="V23" s="13" t="s">
        <v>9</v>
      </c>
      <c r="W23" s="13" t="s">
        <v>10</v>
      </c>
      <c r="X23" s="13" t="s">
        <v>11</v>
      </c>
      <c r="Y23" s="13" t="s">
        <v>12</v>
      </c>
      <c r="Z23" s="13" t="s">
        <v>13</v>
      </c>
      <c r="AA23" s="13" t="s">
        <v>14</v>
      </c>
      <c r="AB23" s="13" t="s">
        <v>15</v>
      </c>
      <c r="AC23" s="13" t="s">
        <v>16</v>
      </c>
      <c r="AD23" s="13" t="s">
        <v>8</v>
      </c>
      <c r="AE23" s="13" t="s">
        <v>9</v>
      </c>
      <c r="AF23" s="13" t="s">
        <v>10</v>
      </c>
      <c r="AG23" s="13" t="s">
        <v>11</v>
      </c>
      <c r="AH23" s="13" t="s">
        <v>12</v>
      </c>
      <c r="AI23" s="13" t="s">
        <v>13</v>
      </c>
      <c r="AJ23" s="13" t="s">
        <v>14</v>
      </c>
      <c r="AK23" s="13" t="s">
        <v>15</v>
      </c>
      <c r="AL23" s="13" t="s">
        <v>16</v>
      </c>
      <c r="AM23" s="14">
        <v>45531.4</v>
      </c>
      <c r="AN23" s="14">
        <v>137189.6</v>
      </c>
      <c r="AO23" s="14">
        <v>16635</v>
      </c>
      <c r="AP23" s="14">
        <v>18038</v>
      </c>
      <c r="AQ23" s="14">
        <v>16135</v>
      </c>
      <c r="AR23" s="14">
        <v>11419</v>
      </c>
      <c r="AS23" s="14">
        <v>7455</v>
      </c>
      <c r="AT23" s="14">
        <v>5067</v>
      </c>
      <c r="AU23" s="14">
        <v>2407</v>
      </c>
      <c r="AV23" s="14">
        <v>44319.199999999997</v>
      </c>
      <c r="AW23" s="14">
        <v>134118.79999999999</v>
      </c>
      <c r="AX23" s="14">
        <v>15470</v>
      </c>
      <c r="AY23" s="14">
        <v>16076</v>
      </c>
      <c r="AZ23" s="14">
        <v>16930</v>
      </c>
      <c r="BA23" s="14">
        <v>14455</v>
      </c>
      <c r="BB23" s="14">
        <v>9348</v>
      </c>
      <c r="BC23" s="14">
        <v>5071</v>
      </c>
      <c r="BD23" s="14">
        <v>3132</v>
      </c>
      <c r="BE23" s="14">
        <v>41268.400000000001</v>
      </c>
      <c r="BF23" s="14">
        <v>132364.6</v>
      </c>
      <c r="BG23" s="14">
        <v>15761</v>
      </c>
      <c r="BH23" s="14">
        <v>15048</v>
      </c>
      <c r="BI23" s="14">
        <v>15226</v>
      </c>
      <c r="BJ23" s="14">
        <v>15381</v>
      </c>
      <c r="BK23" s="14">
        <v>12119</v>
      </c>
      <c r="BL23" s="14">
        <v>6663</v>
      </c>
      <c r="BM23" s="14">
        <v>3601</v>
      </c>
      <c r="BN23" s="14">
        <f t="shared" si="27"/>
        <v>296.65989514789328</v>
      </c>
      <c r="BO23" s="14">
        <f t="shared" ref="BO23:BO26" si="47">(AN23*V24)/100</f>
        <v>402.79613707344447</v>
      </c>
      <c r="BP23" s="14">
        <f t="shared" ref="BP23:BP26" si="48">(AO23*W24)/100</f>
        <v>128.26676651689132</v>
      </c>
      <c r="BQ23" s="14">
        <f t="shared" ref="BQ23:BQ26" si="49">(AP23*X24)/100</f>
        <v>215.91520304284597</v>
      </c>
      <c r="BR23" s="14">
        <f t="shared" ref="BR23:BR26" si="50">(AQ23*Y24)/100</f>
        <v>327.1738144597046</v>
      </c>
      <c r="BS23" s="14">
        <f t="shared" ref="BS23:BS26" si="51">(AR23*Z24)/100</f>
        <v>534.28044173205456</v>
      </c>
      <c r="BT23" s="14">
        <f t="shared" ref="BT23:BT26" si="52">(AS23*AA24)/100</f>
        <v>696.31939908556512</v>
      </c>
      <c r="BU23" s="14">
        <f t="shared" ref="BU23:BU26" si="53">(AT23*AB24)/100</f>
        <v>629.59741550695833</v>
      </c>
      <c r="BV23" s="14">
        <f t="shared" ref="BV23:BV26" si="54">(AU23*AC24)/100</f>
        <v>287.07339449541286</v>
      </c>
      <c r="BW23" s="14">
        <f t="shared" si="28"/>
        <v>3518.0824670607708</v>
      </c>
      <c r="BX23" s="14">
        <f t="shared" si="29"/>
        <v>288.76180449181248</v>
      </c>
      <c r="BY23" s="14">
        <f t="shared" ref="BY23:BY26" si="55">(AW23*V24)/100</f>
        <v>393.78010103481517</v>
      </c>
      <c r="BZ23" s="14">
        <f t="shared" ref="BZ23:BZ26" si="56">(AX23*W24)/100</f>
        <v>119.28385199977811</v>
      </c>
      <c r="CA23" s="14">
        <f t="shared" ref="CA23:CA26" si="57">(AY23*X24)/100</f>
        <v>192.43002572994746</v>
      </c>
      <c r="CB23" s="14">
        <f t="shared" ref="CB23:CB26" si="58">(AZ23*Y24)/100</f>
        <v>343.29424721430422</v>
      </c>
      <c r="CC23" s="14">
        <f t="shared" ref="CC23:CC26" si="59">(BA23*Z24)/100</f>
        <v>676.33100842778254</v>
      </c>
      <c r="CD23" s="14">
        <f t="shared" ref="CD23:CD26" si="60">(BB23*AA24)/100</f>
        <v>873.13128674069242</v>
      </c>
      <c r="CE23" s="14">
        <f t="shared" ref="CE23:CE26" si="61">(BC23*AB24)/100</f>
        <v>630.09443339960239</v>
      </c>
      <c r="CF23" s="14">
        <f t="shared" ref="CF23:CF26" si="62">(BD23*AC24)/100</f>
        <v>373.54128440366969</v>
      </c>
      <c r="CG23" s="14">
        <f>SUM(BX23:CF23)</f>
        <v>3890.6480434424043</v>
      </c>
      <c r="CH23" s="14">
        <f t="shared" si="31"/>
        <v>268.88431317555182</v>
      </c>
      <c r="CI23" s="14">
        <f t="shared" ref="CI23:CI26" si="63">(BF23*V24)/100</f>
        <v>388.62967429944877</v>
      </c>
      <c r="CJ23" s="14">
        <f t="shared" ref="CJ23:CJ26" si="64">(BG23*W24)/100</f>
        <v>121.52765296499696</v>
      </c>
      <c r="CK23" s="14">
        <f t="shared" ref="CK23:CK26" si="65">(BH23*X24)/100</f>
        <v>180.12484617966217</v>
      </c>
      <c r="CL23" s="14">
        <f t="shared" ref="CL23:CL26" si="66">(BI23*Y24)/100</f>
        <v>308.74177247991707</v>
      </c>
      <c r="CM23" s="14">
        <f t="shared" ref="CM23:CM26" si="67">(BJ23*Z24)/100</f>
        <v>719.65736704446374</v>
      </c>
      <c r="CN23" s="14">
        <f t="shared" ref="CN23:CN26" si="68">(BK23*AA24)/100</f>
        <v>1131.9510124101896</v>
      </c>
      <c r="CO23" s="14">
        <f t="shared" ref="CO23:CO26" si="69">(BL23*AB24)/100</f>
        <v>827.90755467196823</v>
      </c>
      <c r="CP23" s="14">
        <f t="shared" ref="CP23:CP26" si="70">(BM23*AC24)/100</f>
        <v>429.47706422018354</v>
      </c>
      <c r="CQ23" s="14">
        <f>SUM(CH23:CP23)</f>
        <v>4376.9012574463814</v>
      </c>
      <c r="CR23" s="14">
        <f t="shared" si="33"/>
        <v>329.45127183938484</v>
      </c>
      <c r="CS23" s="14">
        <f t="shared" ref="CS23:CS26" si="71">(AN23*(V24+(AE24/2)))/100</f>
        <v>410.44963356626232</v>
      </c>
      <c r="CT23" s="14">
        <f t="shared" ref="CT23:CT26" si="72">(AO23*(W24+(AF24/2)))/100</f>
        <v>104.9977264427185</v>
      </c>
      <c r="CU23" s="14">
        <f t="shared" ref="CU23:CU26" si="73">(AP23*(X24+(AG24/2)))/100</f>
        <v>188.38925108071547</v>
      </c>
      <c r="CV23" s="14">
        <f t="shared" ref="CV23:CV26" si="74">(AQ23*(Y24+(AH24/2)))/100</f>
        <v>262.36118174440958</v>
      </c>
      <c r="CW23" s="14">
        <f t="shared" ref="CW23:CW26" si="75">(AR23*(Z24+(AI24/2)))/100</f>
        <v>439.66489336731269</v>
      </c>
      <c r="CX23" s="14">
        <f t="shared" ref="CX23:CX26" si="76">(AS23*(AA24+(AJ24/2)))/100</f>
        <v>571.23700148108469</v>
      </c>
      <c r="CY23" s="14">
        <f t="shared" ref="CY23:CY26" si="77">(AT23*(AB24+(AK24/2)))/100</f>
        <v>458.19292476561145</v>
      </c>
      <c r="CZ23" s="14">
        <f t="shared" ref="CZ23:CZ26" si="78">(AU23*(AC24+(AL24/2)))/100</f>
        <v>235.277631010135</v>
      </c>
      <c r="DA23" s="14">
        <f>SUM(CR23:CZ23)</f>
        <v>3000.0215152976348</v>
      </c>
      <c r="DB23" s="14">
        <f t="shared" si="35"/>
        <v>373.87742912978712</v>
      </c>
      <c r="DC23" s="14">
        <f t="shared" ref="DC23:DC26" si="79">((AW23*((V24+((AE24/3)*4))))/100)</f>
        <v>413.73259044452629</v>
      </c>
      <c r="DD23" s="14">
        <f t="shared" ref="DD23:DD26" si="80">((AX23*((W24+((AF24/3)*4))))/100)</f>
        <v>61.578684189345701</v>
      </c>
      <c r="DE23" s="14">
        <f t="shared" ref="DE23:DE26" si="81">((AY23*((X24+((AG24/3)*4))))/100)</f>
        <v>127.01150871132606</v>
      </c>
      <c r="DF23" s="14">
        <f t="shared" ref="DF23:DF26" si="82">((AZ23*((Y24+((AH24/3)*4))))/100)</f>
        <v>161.94473838340755</v>
      </c>
      <c r="DG23" s="14">
        <f t="shared" ref="DG23:DG26" si="83">((BA23*((Z24+((AI24/3)*4))))/100)</f>
        <v>356.94104395632405</v>
      </c>
      <c r="DH23" s="14">
        <f t="shared" ref="DH23:DH26" si="84">((BB23*((AA24+((AJ24/3)*4))))/100)</f>
        <v>454.88125220219649</v>
      </c>
      <c r="DI23" s="14">
        <f t="shared" ref="DI23:DI26" si="85">((BC23*((AB24+((AK24/3)*4))))/100)</f>
        <v>172.65496360189462</v>
      </c>
      <c r="DJ23" s="14">
        <f t="shared" ref="DJ23:DJ26" si="86">((BD23*((AC24+((AL24/3)*4))))/100)</f>
        <v>193.81622556318746</v>
      </c>
      <c r="DK23" s="14">
        <f>SUM(DB23:DJ23)</f>
        <v>2316.4384361819953</v>
      </c>
      <c r="DL23" s="14">
        <f t="shared" si="37"/>
        <v>397.67616120509462</v>
      </c>
      <c r="DM23" s="14">
        <f t="shared" ref="DM23:DM26" si="87">((BF23*(V24+(AE24/6)*13))/100)</f>
        <v>420.62839729388395</v>
      </c>
      <c r="DN23" s="14">
        <f t="shared" ref="DN23:DN26" si="88">((BG23*(W24+(AF24/6)*13))/100)</f>
        <v>25.992868315813638</v>
      </c>
      <c r="DO23" s="14">
        <f t="shared" ref="DO23:DO26" si="89">((BH23*(X24+(AG24/6)*13))/100)</f>
        <v>80.617568457819146</v>
      </c>
      <c r="DP23" s="14">
        <f t="shared" ref="DP23:DP26" si="90">((BI23*(Y24+(AH24/6)*13))/100)</f>
        <v>43.709587903942271</v>
      </c>
      <c r="DQ23" s="14">
        <f t="shared" ref="DQ23:DQ26" si="91">((BJ23*(Z24+(AI24/6)*13))/100)</f>
        <v>167.40052195659152</v>
      </c>
      <c r="DR23" s="14">
        <f t="shared" ref="DR23:DR26" si="92">((BK23*(AA24+(AJ24/6)*13))/100)</f>
        <v>250.82619705615085</v>
      </c>
      <c r="DS23" s="14">
        <v>0</v>
      </c>
      <c r="DT23" s="14">
        <f t="shared" ref="DT23:DT26" si="93">((BM23*(AC24+(AL24/6)*13))/100)</f>
        <v>93.690459035816687</v>
      </c>
      <c r="DU23" s="14">
        <f>SUM(DL23:DT23)</f>
        <v>1480.5417612251129</v>
      </c>
    </row>
    <row r="24" spans="1:125" x14ac:dyDescent="0.25">
      <c r="A24" t="s">
        <v>22</v>
      </c>
      <c r="B24" s="13">
        <v>302</v>
      </c>
      <c r="C24" s="13">
        <v>408</v>
      </c>
      <c r="D24" s="13">
        <v>139</v>
      </c>
      <c r="E24" s="13">
        <v>214</v>
      </c>
      <c r="F24" s="13">
        <v>313</v>
      </c>
      <c r="G24" s="13">
        <v>483</v>
      </c>
      <c r="H24" s="13">
        <v>715</v>
      </c>
      <c r="I24" s="13">
        <v>625</v>
      </c>
      <c r="J24" s="13">
        <v>247</v>
      </c>
      <c r="K24" s="14">
        <f t="shared" si="1"/>
        <v>3446</v>
      </c>
      <c r="L24" s="14">
        <v>46351</v>
      </c>
      <c r="M24" s="14">
        <v>138962</v>
      </c>
      <c r="N24" s="14">
        <v>18027</v>
      </c>
      <c r="O24" s="14">
        <v>17878</v>
      </c>
      <c r="P24" s="14">
        <v>15436</v>
      </c>
      <c r="Q24" s="14">
        <v>10323</v>
      </c>
      <c r="R24" s="14">
        <v>7655</v>
      </c>
      <c r="S24" s="14">
        <v>5030</v>
      </c>
      <c r="T24" s="14">
        <v>2071</v>
      </c>
      <c r="U24">
        <f t="shared" si="2"/>
        <v>0.65155012836832005</v>
      </c>
      <c r="V24">
        <f t="shared" ref="V24:V27" si="94">(C24/M24)*100</f>
        <v>0.29360544609317651</v>
      </c>
      <c r="W24">
        <f t="shared" ref="W24:W27" si="95">(D24/N24)*100</f>
        <v>0.77106562378654242</v>
      </c>
      <c r="X24">
        <f t="shared" ref="X24:X27" si="96">(E24/O24)*100</f>
        <v>1.1970019017787226</v>
      </c>
      <c r="Y24">
        <f t="shared" ref="Y24:Y27" si="97">(F24/P24)*100</f>
        <v>2.0277273905156776</v>
      </c>
      <c r="Z24">
        <f t="shared" ref="Z24:Z27" si="98">(G24/Q24)*100</f>
        <v>4.6788724208079042</v>
      </c>
      <c r="AA24">
        <f t="shared" ref="AA24:AA27" si="99">(H24/R24)*100</f>
        <v>9.3403004572175057</v>
      </c>
      <c r="AB24">
        <f t="shared" ref="AB24:AB27" si="100">(I24/S24)*100</f>
        <v>12.42544731610338</v>
      </c>
      <c r="AC24">
        <f>(J24/T24)*100</f>
        <v>11.926605504587156</v>
      </c>
      <c r="AD24" s="16">
        <f t="shared" ref="AD24:AL27" si="101">U24-U10</f>
        <v>0.14403851711782023</v>
      </c>
      <c r="AE24" s="16">
        <f t="shared" si="101"/>
        <v>1.115754618836684E-2</v>
      </c>
      <c r="AF24" s="16">
        <f t="shared" si="101"/>
        <v>-0.27976002493745511</v>
      </c>
      <c r="AG24" s="16">
        <f t="shared" si="101"/>
        <v>-0.30519960042277949</v>
      </c>
      <c r="AH24" s="16">
        <f t="shared" si="101"/>
        <v>-0.80337939529339941</v>
      </c>
      <c r="AI24" s="16">
        <f t="shared" si="101"/>
        <v>-1.6571599678560629</v>
      </c>
      <c r="AJ24" s="16">
        <f t="shared" si="101"/>
        <v>-3.3556645903281126</v>
      </c>
      <c r="AK24" s="16">
        <f t="shared" si="101"/>
        <v>-6.7655216396821309</v>
      </c>
      <c r="AL24" s="16">
        <f t="shared" si="101"/>
        <v>-4.3037609875594409</v>
      </c>
      <c r="AM24" s="14">
        <v>45531.4</v>
      </c>
      <c r="AN24" s="14">
        <v>137189.6</v>
      </c>
      <c r="AO24" s="14">
        <v>16635</v>
      </c>
      <c r="AP24" s="14">
        <v>18038</v>
      </c>
      <c r="AQ24" s="14">
        <v>16135</v>
      </c>
      <c r="AR24" s="14">
        <v>11419</v>
      </c>
      <c r="AS24" s="14">
        <v>7455</v>
      </c>
      <c r="AT24" s="14">
        <v>5067</v>
      </c>
      <c r="AU24" s="14">
        <v>2407</v>
      </c>
      <c r="AV24" s="14">
        <v>44319.199999999997</v>
      </c>
      <c r="AW24" s="14">
        <v>134118.79999999999</v>
      </c>
      <c r="AX24" s="14">
        <v>15470</v>
      </c>
      <c r="AY24" s="14">
        <v>16076</v>
      </c>
      <c r="AZ24" s="14">
        <v>16930</v>
      </c>
      <c r="BA24" s="14">
        <v>14455</v>
      </c>
      <c r="BB24" s="14">
        <v>9348</v>
      </c>
      <c r="BC24" s="14">
        <v>5071</v>
      </c>
      <c r="BD24" s="14">
        <v>3132</v>
      </c>
      <c r="BE24" s="14">
        <v>41268.400000000001</v>
      </c>
      <c r="BF24" s="14">
        <v>132364.6</v>
      </c>
      <c r="BG24" s="14">
        <v>15761</v>
      </c>
      <c r="BH24" s="14">
        <v>15048</v>
      </c>
      <c r="BI24" s="14">
        <v>15226</v>
      </c>
      <c r="BJ24" s="14">
        <v>15381</v>
      </c>
      <c r="BK24" s="14">
        <v>12119</v>
      </c>
      <c r="BL24" s="14">
        <v>6663</v>
      </c>
      <c r="BM24" s="14">
        <v>3601</v>
      </c>
      <c r="BN24" s="14">
        <f t="shared" si="27"/>
        <v>190.56960151884533</v>
      </c>
      <c r="BO24" s="14">
        <f t="shared" si="47"/>
        <v>449.19667247161101</v>
      </c>
      <c r="BP24" s="14">
        <f t="shared" si="48"/>
        <v>147.64519886836413</v>
      </c>
      <c r="BQ24" s="14">
        <f t="shared" si="49"/>
        <v>251.22843718536751</v>
      </c>
      <c r="BR24" s="14">
        <f t="shared" si="50"/>
        <v>368.98516455040169</v>
      </c>
      <c r="BS24" s="14">
        <f t="shared" si="51"/>
        <v>559.72236752881918</v>
      </c>
      <c r="BT24" s="14">
        <f t="shared" si="52"/>
        <v>741.11757021554547</v>
      </c>
      <c r="BU24" s="14">
        <f t="shared" si="53"/>
        <v>903.59821073558635</v>
      </c>
      <c r="BV24" s="14">
        <f t="shared" si="54"/>
        <v>535.79285369386776</v>
      </c>
      <c r="BW24" s="14">
        <f t="shared" si="28"/>
        <v>4147.8560767684085</v>
      </c>
      <c r="BX24" s="14">
        <f t="shared" si="29"/>
        <v>185.49599361394576</v>
      </c>
      <c r="BY24" s="14">
        <f t="shared" si="55"/>
        <v>439.14202443833562</v>
      </c>
      <c r="BZ24" s="14">
        <f t="shared" si="56"/>
        <v>137.30515338103956</v>
      </c>
      <c r="CA24" s="14">
        <f t="shared" si="57"/>
        <v>223.90222619979863</v>
      </c>
      <c r="CB24" s="14">
        <f t="shared" si="58"/>
        <v>387.16571650686711</v>
      </c>
      <c r="CC24" s="14">
        <f t="shared" si="59"/>
        <v>708.53724692434378</v>
      </c>
      <c r="CD24" s="14">
        <f t="shared" si="60"/>
        <v>929.30476812540815</v>
      </c>
      <c r="CE24" s="14">
        <f t="shared" si="61"/>
        <v>904.31153081510934</v>
      </c>
      <c r="CF24" s="14">
        <f t="shared" si="62"/>
        <v>697.17624336069537</v>
      </c>
      <c r="CG24" s="14">
        <f t="shared" ref="CG24:CG26" si="102">SUM(BX24:CF24)</f>
        <v>4612.3409033655435</v>
      </c>
      <c r="CH24" s="14">
        <f t="shared" si="31"/>
        <v>172.7270091260167</v>
      </c>
      <c r="CI24" s="14">
        <f t="shared" si="63"/>
        <v>433.39828874080689</v>
      </c>
      <c r="CJ24" s="14">
        <f t="shared" si="64"/>
        <v>139.8879458589893</v>
      </c>
      <c r="CK24" s="14">
        <f t="shared" si="65"/>
        <v>209.58451728381252</v>
      </c>
      <c r="CL24" s="14">
        <f t="shared" si="66"/>
        <v>348.1975900492356</v>
      </c>
      <c r="CM24" s="14">
        <f t="shared" si="67"/>
        <v>753.92676547515259</v>
      </c>
      <c r="CN24" s="14">
        <f t="shared" si="68"/>
        <v>1204.7758327890267</v>
      </c>
      <c r="CO24" s="14">
        <f t="shared" si="69"/>
        <v>1188.2129224652087</v>
      </c>
      <c r="CP24" s="14">
        <f t="shared" si="70"/>
        <v>801.57460164171891</v>
      </c>
      <c r="CQ24" s="14">
        <f t="shared" ref="CQ24:CQ26" si="103">SUM(CH24:CP24)</f>
        <v>5252.2854734299681</v>
      </c>
      <c r="CR24" s="14">
        <f t="shared" si="33"/>
        <v>236.33787190007297</v>
      </c>
      <c r="CS24" s="14">
        <f t="shared" si="71"/>
        <v>488.89934740590201</v>
      </c>
      <c r="CT24" s="14">
        <f t="shared" si="72"/>
        <v>162.15901104112652</v>
      </c>
      <c r="CU24" s="14">
        <f t="shared" si="73"/>
        <v>279.31785650325202</v>
      </c>
      <c r="CV24" s="14">
        <f t="shared" si="74"/>
        <v>392.17057173934228</v>
      </c>
      <c r="CW24" s="14">
        <f t="shared" si="75"/>
        <v>578.37970513938262</v>
      </c>
      <c r="CX24" s="14">
        <f t="shared" si="76"/>
        <v>735.66922348060393</v>
      </c>
      <c r="CY24" s="14">
        <f t="shared" si="77"/>
        <v>916.86109785314443</v>
      </c>
      <c r="CZ24" s="14">
        <f t="shared" si="78"/>
        <v>520.14216012195345</v>
      </c>
      <c r="DA24" s="14">
        <f t="shared" ref="DA24:DA26" si="104">SUM(CR24:CZ24)</f>
        <v>4309.9368451847804</v>
      </c>
      <c r="DB24" s="14">
        <f t="shared" si="35"/>
        <v>304.29536452016021</v>
      </c>
      <c r="DC24" s="14">
        <f t="shared" si="79"/>
        <v>542.64598526291104</v>
      </c>
      <c r="DD24" s="14">
        <f t="shared" si="80"/>
        <v>173.29812792269016</v>
      </c>
      <c r="DE24" s="14">
        <f t="shared" si="81"/>
        <v>290.65988668755574</v>
      </c>
      <c r="DF24" s="14">
        <f t="shared" si="82"/>
        <v>452.03983177739929</v>
      </c>
      <c r="DG24" s="14">
        <f t="shared" si="83"/>
        <v>771.51808357920424</v>
      </c>
      <c r="DH24" s="14">
        <f t="shared" si="84"/>
        <v>911.08660750721697</v>
      </c>
      <c r="DI24" s="14">
        <f t="shared" si="85"/>
        <v>939.70714982603579</v>
      </c>
      <c r="DJ24" s="14">
        <f t="shared" si="86"/>
        <v>642.87022229188415</v>
      </c>
      <c r="DK24" s="14">
        <f t="shared" ref="DK24:DK26" si="105">SUM(DB24:DJ24)</f>
        <v>5028.121259375057</v>
      </c>
      <c r="DL24" s="14">
        <f t="shared" si="37"/>
        <v>352.48707772489223</v>
      </c>
      <c r="DM24" s="14">
        <f t="shared" si="87"/>
        <v>599.39234107396942</v>
      </c>
      <c r="DN24" s="14">
        <f t="shared" si="88"/>
        <v>199.47673490845938</v>
      </c>
      <c r="DO24" s="14">
        <f t="shared" si="89"/>
        <v>311.12874917651743</v>
      </c>
      <c r="DP24" s="14">
        <f t="shared" si="90"/>
        <v>443.00748836892404</v>
      </c>
      <c r="DQ24" s="14">
        <f t="shared" si="91"/>
        <v>862.82686260114133</v>
      </c>
      <c r="DR24" s="14">
        <f t="shared" si="92"/>
        <v>1166.395744121475</v>
      </c>
      <c r="DS24" s="14">
        <f t="shared" ref="DS24:DS26" si="106">((BL24*(AB25+(AK25/6)*13))/100)</f>
        <v>1263.788083259614</v>
      </c>
      <c r="DT24" s="14">
        <f t="shared" si="93"/>
        <v>700.11276558272084</v>
      </c>
      <c r="DU24" s="14">
        <f t="shared" ref="DU24:DU26" si="107">SUM(DL24:DT24)</f>
        <v>5898.6158468177127</v>
      </c>
    </row>
    <row r="25" spans="1:125" x14ac:dyDescent="0.25">
      <c r="A25" t="s">
        <v>23</v>
      </c>
      <c r="B25" s="13">
        <v>194</v>
      </c>
      <c r="C25" s="13">
        <v>455</v>
      </c>
      <c r="D25" s="13">
        <v>160</v>
      </c>
      <c r="E25" s="13">
        <v>249</v>
      </c>
      <c r="F25" s="13">
        <v>353</v>
      </c>
      <c r="G25" s="13">
        <v>506</v>
      </c>
      <c r="H25" s="13">
        <v>761</v>
      </c>
      <c r="I25" s="13">
        <v>897</v>
      </c>
      <c r="J25" s="13">
        <v>461</v>
      </c>
      <c r="K25" s="14">
        <f t="shared" si="1"/>
        <v>4036</v>
      </c>
      <c r="L25" s="14">
        <v>46351</v>
      </c>
      <c r="M25" s="14">
        <v>138962</v>
      </c>
      <c r="N25" s="14">
        <v>18027</v>
      </c>
      <c r="O25" s="14">
        <v>17878</v>
      </c>
      <c r="P25" s="14">
        <v>15436</v>
      </c>
      <c r="Q25" s="14">
        <v>10323</v>
      </c>
      <c r="R25" s="14">
        <v>7655</v>
      </c>
      <c r="S25" s="14">
        <v>5030</v>
      </c>
      <c r="T25" s="14">
        <v>2071</v>
      </c>
      <c r="U25">
        <f t="shared" si="2"/>
        <v>0.41854544670017907</v>
      </c>
      <c r="V25">
        <f t="shared" si="94"/>
        <v>0.32742764208920427</v>
      </c>
      <c r="W25">
        <f t="shared" si="95"/>
        <v>0.88755755256004887</v>
      </c>
      <c r="X25">
        <f t="shared" si="96"/>
        <v>1.3927732408546818</v>
      </c>
      <c r="Y25">
        <f t="shared" si="97"/>
        <v>2.2868618813164034</v>
      </c>
      <c r="Z25">
        <f t="shared" si="98"/>
        <v>4.9016758694178053</v>
      </c>
      <c r="AA25">
        <f t="shared" si="99"/>
        <v>9.9412148922273023</v>
      </c>
      <c r="AB25">
        <f t="shared" si="100"/>
        <v>17.833001988071569</v>
      </c>
      <c r="AC25">
        <f>(J25/T25)*100</f>
        <v>22.259777885079671</v>
      </c>
      <c r="AD25" s="16">
        <f t="shared" si="101"/>
        <v>0.20104047044996484</v>
      </c>
      <c r="AE25" s="16">
        <f t="shared" si="101"/>
        <v>5.7880006843508525E-2</v>
      </c>
      <c r="AF25" s="16">
        <f t="shared" si="101"/>
        <v>0.17449729092590782</v>
      </c>
      <c r="AG25" s="16">
        <f t="shared" si="101"/>
        <v>0.31144715952860058</v>
      </c>
      <c r="AH25" s="16">
        <f t="shared" si="101"/>
        <v>0.28739271383874265</v>
      </c>
      <c r="AI25" s="16">
        <f t="shared" si="101"/>
        <v>0.32677708399270422</v>
      </c>
      <c r="AJ25" s="16">
        <f t="shared" si="101"/>
        <v>-0.14616624372746578</v>
      </c>
      <c r="AK25" s="16">
        <f t="shared" si="101"/>
        <v>0.52350057697091046</v>
      </c>
      <c r="AL25" s="16">
        <f t="shared" si="101"/>
        <v>-1.3004315390040979</v>
      </c>
      <c r="AM25" s="14">
        <v>45531.4</v>
      </c>
      <c r="AN25" s="14">
        <v>137189.6</v>
      </c>
      <c r="AO25" s="14">
        <v>16635</v>
      </c>
      <c r="AP25" s="14">
        <v>18038</v>
      </c>
      <c r="AQ25" s="14">
        <v>16135</v>
      </c>
      <c r="AR25" s="14">
        <v>11419</v>
      </c>
      <c r="AS25" s="14">
        <v>7455</v>
      </c>
      <c r="AT25" s="14">
        <v>5067</v>
      </c>
      <c r="AU25" s="14">
        <v>2407</v>
      </c>
      <c r="AV25" s="14">
        <v>44319.199999999997</v>
      </c>
      <c r="AW25" s="14">
        <v>134118.79999999999</v>
      </c>
      <c r="AX25" s="14">
        <v>15470</v>
      </c>
      <c r="AY25" s="14">
        <v>16076</v>
      </c>
      <c r="AZ25" s="14">
        <v>16930</v>
      </c>
      <c r="BA25" s="14">
        <v>14455</v>
      </c>
      <c r="BB25" s="14">
        <v>9348</v>
      </c>
      <c r="BC25" s="14">
        <v>5071</v>
      </c>
      <c r="BD25" s="14">
        <v>3132</v>
      </c>
      <c r="BE25" s="14">
        <v>41268.400000000001</v>
      </c>
      <c r="BF25" s="14">
        <v>132364.6</v>
      </c>
      <c r="BG25" s="14">
        <v>15761</v>
      </c>
      <c r="BH25" s="14">
        <v>15048</v>
      </c>
      <c r="BI25" s="14">
        <v>15226</v>
      </c>
      <c r="BJ25" s="14">
        <v>15381</v>
      </c>
      <c r="BK25" s="14">
        <v>12119</v>
      </c>
      <c r="BL25" s="14">
        <v>6663</v>
      </c>
      <c r="BM25" s="14">
        <v>3601</v>
      </c>
      <c r="BN25" s="14">
        <f t="shared" si="27"/>
        <v>92.337848158615785</v>
      </c>
      <c r="BO25" s="14">
        <f t="shared" si="47"/>
        <v>345.53590190123919</v>
      </c>
      <c r="BP25" s="14">
        <f t="shared" si="48"/>
        <v>88.587119321018477</v>
      </c>
      <c r="BQ25" s="14">
        <f t="shared" si="49"/>
        <v>151.342432039378</v>
      </c>
      <c r="BR25" s="14">
        <f t="shared" si="50"/>
        <v>245.6416817828453</v>
      </c>
      <c r="BS25" s="14">
        <f t="shared" si="51"/>
        <v>328.53269398430689</v>
      </c>
      <c r="BT25" s="14">
        <f t="shared" si="52"/>
        <v>487.91051600261267</v>
      </c>
      <c r="BU25" s="14">
        <f t="shared" si="53"/>
        <v>697.0902584493042</v>
      </c>
      <c r="BV25" s="14">
        <f t="shared" si="54"/>
        <v>557.87542250120714</v>
      </c>
      <c r="BW25" s="14">
        <f t="shared" si="28"/>
        <v>2994.8538741405273</v>
      </c>
      <c r="BX25" s="14">
        <f t="shared" si="29"/>
        <v>89.879502060365468</v>
      </c>
      <c r="BY25" s="14">
        <f t="shared" si="55"/>
        <v>337.80155726025822</v>
      </c>
      <c r="BZ25" s="14">
        <f t="shared" si="56"/>
        <v>82.383092028623722</v>
      </c>
      <c r="CA25" s="14">
        <f t="shared" si="57"/>
        <v>134.88085915650518</v>
      </c>
      <c r="CB25" s="14">
        <f t="shared" si="58"/>
        <v>257.74488209380672</v>
      </c>
      <c r="CC25" s="14">
        <f t="shared" si="59"/>
        <v>415.88055797733222</v>
      </c>
      <c r="CD25" s="14">
        <f t="shared" si="60"/>
        <v>611.80248203788369</v>
      </c>
      <c r="CE25" s="14">
        <f t="shared" si="61"/>
        <v>697.64055666003969</v>
      </c>
      <c r="CF25" s="14">
        <f t="shared" si="62"/>
        <v>725.9101883148237</v>
      </c>
      <c r="CG25" s="14">
        <f t="shared" si="102"/>
        <v>3353.9236775896384</v>
      </c>
      <c r="CH25" s="14">
        <f t="shared" si="31"/>
        <v>83.692468339410155</v>
      </c>
      <c r="CI25" s="14">
        <f t="shared" si="63"/>
        <v>333.38329903138992</v>
      </c>
      <c r="CJ25" s="14">
        <f t="shared" si="64"/>
        <v>83.932767515393564</v>
      </c>
      <c r="CK25" s="14">
        <f t="shared" si="65"/>
        <v>126.25573330350151</v>
      </c>
      <c r="CL25" s="14">
        <f t="shared" si="66"/>
        <v>231.80292821974606</v>
      </c>
      <c r="CM25" s="14">
        <f t="shared" si="67"/>
        <v>442.5222319093287</v>
      </c>
      <c r="CN25" s="14">
        <f t="shared" si="68"/>
        <v>793.15728282168504</v>
      </c>
      <c r="CO25" s="14">
        <f t="shared" si="69"/>
        <v>916.65924453280331</v>
      </c>
      <c r="CP25" s="14">
        <f t="shared" si="70"/>
        <v>834.61129888942537</v>
      </c>
      <c r="CQ25" s="14">
        <f t="shared" si="103"/>
        <v>3846.0172545626838</v>
      </c>
      <c r="CR25" s="14">
        <f t="shared" si="33"/>
        <v>85.48907304510881</v>
      </c>
      <c r="CS25" s="14">
        <f t="shared" si="71"/>
        <v>377.18701311795735</v>
      </c>
      <c r="CT25" s="14">
        <f t="shared" si="72"/>
        <v>100.77366632872906</v>
      </c>
      <c r="CU25" s="14">
        <f t="shared" si="73"/>
        <v>171.53546883088777</v>
      </c>
      <c r="CV25" s="14">
        <f t="shared" si="74"/>
        <v>284.24019231949489</v>
      </c>
      <c r="CW25" s="14">
        <f t="shared" si="75"/>
        <v>354.10673328415265</v>
      </c>
      <c r="CX25" s="14">
        <f t="shared" si="76"/>
        <v>537.87483337169078</v>
      </c>
      <c r="CY25" s="14">
        <f t="shared" si="77"/>
        <v>769.7627395083872</v>
      </c>
      <c r="CZ25" s="14">
        <f t="shared" si="78"/>
        <v>627.97842918935748</v>
      </c>
      <c r="DA25" s="14">
        <f t="shared" si="104"/>
        <v>3308.9481489957661</v>
      </c>
      <c r="DB25" s="14">
        <f t="shared" si="35"/>
        <v>72.102335298641293</v>
      </c>
      <c r="DC25" s="14">
        <f t="shared" si="79"/>
        <v>420.31527657139685</v>
      </c>
      <c r="DD25" s="14">
        <f t="shared" si="80"/>
        <v>112.60465415013988</v>
      </c>
      <c r="DE25" s="14">
        <f t="shared" si="81"/>
        <v>182.87187951505359</v>
      </c>
      <c r="DF25" s="14">
        <f t="shared" si="82"/>
        <v>365.7457552904562</v>
      </c>
      <c r="DG25" s="14">
        <f t="shared" si="83"/>
        <v>502.20983096195329</v>
      </c>
      <c r="DH25" s="14">
        <f t="shared" si="84"/>
        <v>778.87297209507733</v>
      </c>
      <c r="DI25" s="14">
        <f t="shared" si="85"/>
        <v>891.58682411644918</v>
      </c>
      <c r="DJ25" s="14">
        <f t="shared" si="86"/>
        <v>969.15917537732128</v>
      </c>
      <c r="DK25" s="14">
        <f t="shared" si="105"/>
        <v>4295.4687033764885</v>
      </c>
      <c r="DL25" s="14">
        <f t="shared" si="37"/>
        <v>56.793127945562809</v>
      </c>
      <c r="DM25" s="14">
        <f t="shared" si="87"/>
        <v>465.71433769329337</v>
      </c>
      <c r="DN25" s="14">
        <f t="shared" si="88"/>
        <v>133.96659530921883</v>
      </c>
      <c r="DO25" s="14">
        <f t="shared" si="89"/>
        <v>199.25426657219924</v>
      </c>
      <c r="DP25" s="14">
        <f t="shared" si="90"/>
        <v>389.6401759958714</v>
      </c>
      <c r="DQ25" s="14">
        <f t="shared" si="91"/>
        <v>591.79408525673398</v>
      </c>
      <c r="DR25" s="14">
        <f t="shared" si="92"/>
        <v>1145.1236726516045</v>
      </c>
      <c r="DS25" s="14">
        <f t="shared" si="106"/>
        <v>1330.7647400170943</v>
      </c>
      <c r="DT25" s="14">
        <f t="shared" si="93"/>
        <v>1289.0818780463817</v>
      </c>
      <c r="DU25" s="14">
        <f t="shared" si="107"/>
        <v>5602.1328794879601</v>
      </c>
    </row>
    <row r="26" spans="1:125" x14ac:dyDescent="0.25">
      <c r="A26" t="s">
        <v>24</v>
      </c>
      <c r="B26" s="13">
        <v>94</v>
      </c>
      <c r="C26" s="13">
        <v>350</v>
      </c>
      <c r="D26" s="13">
        <v>96</v>
      </c>
      <c r="E26" s="13">
        <v>150</v>
      </c>
      <c r="F26" s="13">
        <v>235</v>
      </c>
      <c r="G26" s="13">
        <v>297</v>
      </c>
      <c r="H26" s="13">
        <v>501</v>
      </c>
      <c r="I26" s="13">
        <v>692</v>
      </c>
      <c r="J26" s="13">
        <v>480</v>
      </c>
      <c r="K26" s="14">
        <f t="shared" si="1"/>
        <v>2895</v>
      </c>
      <c r="L26" s="14">
        <v>46351</v>
      </c>
      <c r="M26" s="14">
        <v>138962</v>
      </c>
      <c r="N26" s="14">
        <v>18027</v>
      </c>
      <c r="O26" s="14">
        <v>17878</v>
      </c>
      <c r="P26" s="14">
        <v>15436</v>
      </c>
      <c r="Q26" s="14">
        <v>10323</v>
      </c>
      <c r="R26" s="14">
        <v>7655</v>
      </c>
      <c r="S26" s="14">
        <v>5030</v>
      </c>
      <c r="T26" s="14">
        <v>2071</v>
      </c>
      <c r="U26">
        <f t="shared" si="2"/>
        <v>0.20280037108153007</v>
      </c>
      <c r="V26">
        <f t="shared" si="94"/>
        <v>0.25186741699169557</v>
      </c>
      <c r="W26">
        <f t="shared" si="95"/>
        <v>0.53253453153602925</v>
      </c>
      <c r="X26">
        <f t="shared" si="96"/>
        <v>0.83902002461125402</v>
      </c>
      <c r="Y26">
        <f t="shared" si="97"/>
        <v>1.5224151334542628</v>
      </c>
      <c r="Z26">
        <f t="shared" si="98"/>
        <v>2.8770706190061031</v>
      </c>
      <c r="AA26">
        <f t="shared" si="99"/>
        <v>6.5447419986936639</v>
      </c>
      <c r="AB26">
        <f t="shared" si="100"/>
        <v>13.757455268389663</v>
      </c>
      <c r="AC26">
        <f>(J26/T26)*100</f>
        <v>23.177209077740223</v>
      </c>
      <c r="AD26" s="16">
        <f t="shared" si="101"/>
        <v>-3.008374490354776E-2</v>
      </c>
      <c r="AE26" s="16">
        <f t="shared" si="101"/>
        <v>4.614214374372122E-2</v>
      </c>
      <c r="AF26" s="16">
        <f t="shared" si="101"/>
        <v>0.14651694629047918</v>
      </c>
      <c r="AG26" s="16">
        <f t="shared" si="101"/>
        <v>0.22389440948563888</v>
      </c>
      <c r="AH26" s="16">
        <f t="shared" si="101"/>
        <v>0.47844450618716561</v>
      </c>
      <c r="AI26" s="16">
        <f t="shared" si="101"/>
        <v>0.44792082143525302</v>
      </c>
      <c r="AJ26" s="16">
        <f t="shared" si="101"/>
        <v>1.340424342564134</v>
      </c>
      <c r="AK26" s="16">
        <f t="shared" si="101"/>
        <v>2.8684618535260693</v>
      </c>
      <c r="AL26" s="16">
        <f t="shared" si="101"/>
        <v>5.824927851113447</v>
      </c>
      <c r="AM26" s="14">
        <v>45531.4</v>
      </c>
      <c r="AN26" s="14">
        <v>137189.6</v>
      </c>
      <c r="AO26" s="14">
        <v>16635</v>
      </c>
      <c r="AP26" s="14">
        <v>18038</v>
      </c>
      <c r="AQ26" s="14">
        <v>16135</v>
      </c>
      <c r="AR26" s="14">
        <v>11419</v>
      </c>
      <c r="AS26" s="14">
        <v>7455</v>
      </c>
      <c r="AT26" s="14">
        <v>5067</v>
      </c>
      <c r="AU26" s="14">
        <v>2407</v>
      </c>
      <c r="AV26" s="14">
        <v>44319.199999999997</v>
      </c>
      <c r="AW26" s="14">
        <v>134118.79999999999</v>
      </c>
      <c r="AX26" s="14">
        <v>15470</v>
      </c>
      <c r="AY26" s="14">
        <v>16076</v>
      </c>
      <c r="AZ26" s="14">
        <v>16930</v>
      </c>
      <c r="BA26" s="14">
        <v>14455</v>
      </c>
      <c r="BB26" s="14">
        <v>9348</v>
      </c>
      <c r="BC26" s="14">
        <v>5071</v>
      </c>
      <c r="BD26" s="14">
        <v>3132</v>
      </c>
      <c r="BE26" s="14">
        <v>41268.400000000001</v>
      </c>
      <c r="BF26" s="14">
        <v>132364.6</v>
      </c>
      <c r="BG26" s="14">
        <v>15761</v>
      </c>
      <c r="BH26" s="14">
        <v>15048</v>
      </c>
      <c r="BI26" s="14">
        <v>15226</v>
      </c>
      <c r="BJ26" s="14">
        <v>15381</v>
      </c>
      <c r="BK26" s="14">
        <v>12119</v>
      </c>
      <c r="BL26" s="14">
        <v>6663</v>
      </c>
      <c r="BM26" s="14">
        <v>3601</v>
      </c>
      <c r="BN26" s="14">
        <f t="shared" si="27"/>
        <v>88.408578024206605</v>
      </c>
      <c r="BO26" s="14">
        <f t="shared" si="47"/>
        <v>254.7093219729135</v>
      </c>
      <c r="BP26" s="14">
        <f t="shared" si="48"/>
        <v>41.525212181727412</v>
      </c>
      <c r="BQ26" s="14">
        <f t="shared" si="49"/>
        <v>53.4743259872469</v>
      </c>
      <c r="BR26" s="14">
        <f t="shared" si="50"/>
        <v>85.713267685928983</v>
      </c>
      <c r="BS26" s="14">
        <f t="shared" si="51"/>
        <v>129.42197035745426</v>
      </c>
      <c r="BT26" s="14">
        <f t="shared" si="52"/>
        <v>234.70346178967992</v>
      </c>
      <c r="BU26" s="14">
        <f t="shared" si="53"/>
        <v>354.58926441351889</v>
      </c>
      <c r="BV26" s="14">
        <f t="shared" si="54"/>
        <v>419.56880733944956</v>
      </c>
      <c r="BW26" s="14">
        <f t="shared" si="28"/>
        <v>1662.114209752126</v>
      </c>
      <c r="BX26" s="14">
        <f t="shared" si="29"/>
        <v>86.054842398222249</v>
      </c>
      <c r="BY26" s="14">
        <f t="shared" si="55"/>
        <v>249.00800506613319</v>
      </c>
      <c r="BZ26" s="14">
        <f t="shared" si="56"/>
        <v>38.617074388417379</v>
      </c>
      <c r="CA26" s="14">
        <f t="shared" si="57"/>
        <v>47.657903568631845</v>
      </c>
      <c r="CB26" s="14">
        <f t="shared" si="58"/>
        <v>89.936512049753802</v>
      </c>
      <c r="CC26" s="14">
        <f t="shared" si="59"/>
        <v>163.83173496076722</v>
      </c>
      <c r="CD26" s="14">
        <f t="shared" si="60"/>
        <v>294.30019595035924</v>
      </c>
      <c r="CE26" s="14">
        <f t="shared" si="61"/>
        <v>354.86918489065602</v>
      </c>
      <c r="CF26" s="14">
        <f t="shared" si="62"/>
        <v>545.94495412844037</v>
      </c>
      <c r="CG26" s="14">
        <f t="shared" si="102"/>
        <v>1870.2204074013812</v>
      </c>
      <c r="CH26" s="14">
        <f t="shared" si="31"/>
        <v>80.131086707945883</v>
      </c>
      <c r="CI26" s="14">
        <f t="shared" si="63"/>
        <v>245.75111757171027</v>
      </c>
      <c r="CJ26" s="14">
        <f t="shared" si="64"/>
        <v>39.343484772840746</v>
      </c>
      <c r="CK26" s="14">
        <f t="shared" si="65"/>
        <v>44.610359100570541</v>
      </c>
      <c r="CL26" s="14">
        <f t="shared" si="66"/>
        <v>80.884426017102854</v>
      </c>
      <c r="CM26" s="14">
        <f t="shared" si="67"/>
        <v>174.32693984306891</v>
      </c>
      <c r="CN26" s="14">
        <f t="shared" si="68"/>
        <v>381.53873285434355</v>
      </c>
      <c r="CO26" s="14">
        <f t="shared" si="69"/>
        <v>466.27753479125249</v>
      </c>
      <c r="CP26" s="14">
        <f t="shared" si="70"/>
        <v>627.69724770642199</v>
      </c>
      <c r="CQ26" s="14">
        <f t="shared" si="103"/>
        <v>2140.5609293652574</v>
      </c>
      <c r="CR26" s="14">
        <f t="shared" si="33"/>
        <v>71.092329293703955</v>
      </c>
      <c r="CS26" s="14">
        <f t="shared" si="71"/>
        <v>295.43780411281682</v>
      </c>
      <c r="CT26" s="14">
        <f t="shared" si="72"/>
        <v>48.018034871347282</v>
      </c>
      <c r="CU26" s="14">
        <f t="shared" si="73"/>
        <v>50.428466447847811</v>
      </c>
      <c r="CV26" s="14">
        <f t="shared" si="74"/>
        <v>80.748747852878253</v>
      </c>
      <c r="CW26" s="14">
        <f t="shared" si="75"/>
        <v>135.18872476695057</v>
      </c>
      <c r="CX26" s="14">
        <f t="shared" si="76"/>
        <v>240.92951805074969</v>
      </c>
      <c r="CY26" s="14">
        <f t="shared" si="77"/>
        <v>361.47444224586633</v>
      </c>
      <c r="CZ26" s="14">
        <f t="shared" si="78"/>
        <v>462.82553711239046</v>
      </c>
      <c r="DA26" s="14">
        <f t="shared" si="104"/>
        <v>1746.1436047545512</v>
      </c>
      <c r="DB26" s="14">
        <f t="shared" si="35"/>
        <v>41.107558209763731</v>
      </c>
      <c r="DC26" s="14">
        <f t="shared" si="79"/>
        <v>355.18622169334623</v>
      </c>
      <c r="DD26" s="14">
        <f t="shared" si="80"/>
        <v>54.71870220261146</v>
      </c>
      <c r="DE26" s="14">
        <f t="shared" si="81"/>
        <v>40.419076210775515</v>
      </c>
      <c r="DF26" s="14">
        <f t="shared" si="82"/>
        <v>76.045497357296611</v>
      </c>
      <c r="DG26" s="14">
        <f t="shared" si="83"/>
        <v>183.29833973976591</v>
      </c>
      <c r="DH26" s="14">
        <f t="shared" si="84"/>
        <v>315.11885865672355</v>
      </c>
      <c r="DI26" s="14">
        <f t="shared" si="85"/>
        <v>373.24415326791211</v>
      </c>
      <c r="DJ26" s="14">
        <f t="shared" si="86"/>
        <v>696.040594786356</v>
      </c>
      <c r="DK26" s="14">
        <f t="shared" si="105"/>
        <v>2135.1790021245511</v>
      </c>
      <c r="DL26" s="14">
        <f t="shared" si="37"/>
        <v>12.11955745979056</v>
      </c>
      <c r="DM26" s="14">
        <f t="shared" si="87"/>
        <v>416.03399667168304</v>
      </c>
      <c r="DN26" s="14">
        <f t="shared" si="88"/>
        <v>66.000812081613105</v>
      </c>
      <c r="DO26" s="14">
        <f t="shared" si="89"/>
        <v>33.599470485140031</v>
      </c>
      <c r="DP26" s="14">
        <f t="shared" si="90"/>
        <v>60.583483413768619</v>
      </c>
      <c r="DQ26" s="14">
        <f t="shared" si="91"/>
        <v>207.98662529252513</v>
      </c>
      <c r="DR26" s="14">
        <f t="shared" si="92"/>
        <v>425.39728352560451</v>
      </c>
      <c r="DS26" s="14">
        <f t="shared" si="106"/>
        <v>505.51095487283254</v>
      </c>
      <c r="DT26" s="14">
        <f t="shared" si="93"/>
        <v>908.12617595191216</v>
      </c>
      <c r="DU26" s="14">
        <f t="shared" si="107"/>
        <v>2635.3583597548695</v>
      </c>
    </row>
    <row r="27" spans="1:125" x14ac:dyDescent="0.25">
      <c r="A27" t="s">
        <v>25</v>
      </c>
      <c r="B27" s="13">
        <v>90</v>
      </c>
      <c r="C27" s="13">
        <v>258</v>
      </c>
      <c r="D27" s="13">
        <v>45</v>
      </c>
      <c r="E27" s="13">
        <v>53</v>
      </c>
      <c r="F27" s="13">
        <v>82</v>
      </c>
      <c r="G27" s="13">
        <v>117</v>
      </c>
      <c r="H27" s="13">
        <v>241</v>
      </c>
      <c r="I27" s="13">
        <v>352</v>
      </c>
      <c r="J27" s="13">
        <v>361</v>
      </c>
      <c r="K27" s="14">
        <f t="shared" si="1"/>
        <v>1599</v>
      </c>
      <c r="L27" s="14">
        <v>46351</v>
      </c>
      <c r="M27" s="14">
        <v>138962</v>
      </c>
      <c r="N27" s="14">
        <v>18027</v>
      </c>
      <c r="O27" s="14">
        <v>17878</v>
      </c>
      <c r="P27" s="14">
        <v>15436</v>
      </c>
      <c r="Q27" s="14">
        <v>10323</v>
      </c>
      <c r="R27" s="14">
        <v>7655</v>
      </c>
      <c r="S27" s="14">
        <v>5030</v>
      </c>
      <c r="T27" s="14">
        <v>2071</v>
      </c>
      <c r="U27">
        <f t="shared" si="2"/>
        <v>0.19417056805678409</v>
      </c>
      <c r="V27">
        <f t="shared" si="94"/>
        <v>0.1856622673824499</v>
      </c>
      <c r="W27">
        <f t="shared" si="95"/>
        <v>0.24962556165751376</v>
      </c>
      <c r="X27">
        <f t="shared" si="96"/>
        <v>0.2964537420293098</v>
      </c>
      <c r="Y27">
        <f t="shared" si="97"/>
        <v>0.53122570614148734</v>
      </c>
      <c r="Z27">
        <f t="shared" si="98"/>
        <v>1.1333914559721012</v>
      </c>
      <c r="AA27">
        <f t="shared" si="99"/>
        <v>3.148269105160026</v>
      </c>
      <c r="AB27">
        <f t="shared" si="100"/>
        <v>6.9980119284294231</v>
      </c>
      <c r="AC27">
        <f>(J27/T27)*100</f>
        <v>17.431192660550458</v>
      </c>
      <c r="AD27" s="16">
        <f t="shared" si="101"/>
        <v>-7.6062887284391173E-2</v>
      </c>
      <c r="AE27" s="16">
        <f t="shared" si="101"/>
        <v>5.9375465982703268E-2</v>
      </c>
      <c r="AF27" s="16">
        <f t="shared" si="101"/>
        <v>7.806219043726928E-2</v>
      </c>
      <c r="AG27" s="16">
        <f t="shared" si="101"/>
        <v>-3.3771588196020441E-2</v>
      </c>
      <c r="AH27" s="16">
        <f t="shared" si="101"/>
        <v>-6.1537277137288182E-2</v>
      </c>
      <c r="AI27" s="16">
        <f t="shared" si="101"/>
        <v>0.10100279200448981</v>
      </c>
      <c r="AJ27" s="16">
        <f t="shared" si="101"/>
        <v>0.1670303490561964</v>
      </c>
      <c r="AK27" s="16">
        <f t="shared" si="101"/>
        <v>0.27176545618106918</v>
      </c>
      <c r="AL27" s="16">
        <f t="shared" si="101"/>
        <v>3.5942442686282448</v>
      </c>
      <c r="AM27" s="25"/>
      <c r="BN27" s="14">
        <f>SUM(BN23:BN26)</f>
        <v>667.97592284956102</v>
      </c>
      <c r="BO27" s="14">
        <f t="shared" ref="BO27:BW27" si="108">SUM(BO23:BO26)</f>
        <v>1452.2380334192083</v>
      </c>
      <c r="BP27" s="14">
        <f t="shared" si="108"/>
        <v>406.02429688800134</v>
      </c>
      <c r="BQ27" s="14">
        <f t="shared" si="108"/>
        <v>671.96039825483831</v>
      </c>
      <c r="BR27" s="14">
        <f t="shared" si="108"/>
        <v>1027.5139284788806</v>
      </c>
      <c r="BS27" s="14">
        <f t="shared" si="108"/>
        <v>1551.9574736026348</v>
      </c>
      <c r="BT27" s="14">
        <f t="shared" si="108"/>
        <v>2160.050947093403</v>
      </c>
      <c r="BU27" s="14">
        <f t="shared" si="108"/>
        <v>2584.8751491053677</v>
      </c>
      <c r="BV27" s="14">
        <f t="shared" si="108"/>
        <v>1800.3104780299373</v>
      </c>
      <c r="BW27" s="14">
        <f t="shared" si="108"/>
        <v>12322.906627721834</v>
      </c>
      <c r="BX27" s="14">
        <f>SUM(BX23:BX26)</f>
        <v>650.192142564346</v>
      </c>
      <c r="BY27" s="14">
        <f t="shared" ref="BY27:CG27" si="109">SUM(BY23:BY26)</f>
        <v>1419.7316877995422</v>
      </c>
      <c r="BZ27" s="14">
        <f t="shared" si="109"/>
        <v>377.58917179785874</v>
      </c>
      <c r="CA27" s="14">
        <f t="shared" si="109"/>
        <v>598.87101465488308</v>
      </c>
      <c r="CB27" s="14">
        <f t="shared" si="109"/>
        <v>1078.1413578647318</v>
      </c>
      <c r="CC27" s="14">
        <f t="shared" si="109"/>
        <v>1964.5805482902256</v>
      </c>
      <c r="CD27" s="14">
        <f t="shared" si="109"/>
        <v>2708.5387328543438</v>
      </c>
      <c r="CE27" s="14">
        <f t="shared" si="109"/>
        <v>2586.9157057654074</v>
      </c>
      <c r="CF27" s="14">
        <f t="shared" si="109"/>
        <v>2342.572670207629</v>
      </c>
      <c r="CG27" s="14">
        <f t="shared" si="109"/>
        <v>13727.133031798967</v>
      </c>
      <c r="CH27" s="14">
        <f>SUM(CH23:CH26)</f>
        <v>605.4348773489246</v>
      </c>
      <c r="CI27" s="14">
        <f t="shared" ref="CI27:CP27" si="110">SUM(CI23:CI26)</f>
        <v>1401.1623796433557</v>
      </c>
      <c r="CJ27" s="14">
        <f t="shared" si="110"/>
        <v>384.69185111222055</v>
      </c>
      <c r="CK27" s="14">
        <f t="shared" si="110"/>
        <v>560.57545586754679</v>
      </c>
      <c r="CL27" s="14">
        <f t="shared" si="110"/>
        <v>969.62671676600166</v>
      </c>
      <c r="CM27" s="14">
        <f t="shared" si="110"/>
        <v>2090.4333042720141</v>
      </c>
      <c r="CN27" s="14">
        <f t="shared" si="110"/>
        <v>3511.4228608752446</v>
      </c>
      <c r="CO27" s="14">
        <f t="shared" si="110"/>
        <v>3399.0572564612326</v>
      </c>
      <c r="CP27" s="14">
        <f t="shared" si="110"/>
        <v>2693.3602124577496</v>
      </c>
      <c r="CQ27" s="14">
        <f>SUM(CH27:CP27)</f>
        <v>15615.764914804291</v>
      </c>
      <c r="CR27" s="14">
        <f>SUM(CR23:CR26)</f>
        <v>722.37054607827065</v>
      </c>
      <c r="CS27" s="14">
        <f t="shared" ref="CS27:DA27" si="111">SUM(CS23:CS26)</f>
        <v>1571.9737982029385</v>
      </c>
      <c r="CT27" s="14">
        <f t="shared" si="111"/>
        <v>415.94843868392138</v>
      </c>
      <c r="CU27" s="14">
        <f t="shared" si="111"/>
        <v>689.67104286270308</v>
      </c>
      <c r="CV27" s="14">
        <f t="shared" si="111"/>
        <v>1019.520693656125</v>
      </c>
      <c r="CW27" s="14">
        <f t="shared" si="111"/>
        <v>1507.3400565577986</v>
      </c>
      <c r="CX27" s="14">
        <f t="shared" si="111"/>
        <v>2085.7105763841291</v>
      </c>
      <c r="CY27" s="14">
        <f t="shared" si="111"/>
        <v>2506.2912043730094</v>
      </c>
      <c r="CZ27" s="14">
        <f t="shared" si="111"/>
        <v>1846.2237574338365</v>
      </c>
      <c r="DA27" s="14">
        <f t="shared" si="111"/>
        <v>12365.05011423273</v>
      </c>
      <c r="DB27" s="14">
        <f>SUM(DB23:DB26)</f>
        <v>791.38268715835238</v>
      </c>
      <c r="DC27" s="14">
        <f t="shared" ref="DC27:DK27" si="112">SUM(DC23:DC26)</f>
        <v>1731.8800739721803</v>
      </c>
      <c r="DD27" s="14">
        <f t="shared" si="112"/>
        <v>402.20016846478717</v>
      </c>
      <c r="DE27" s="14">
        <f t="shared" si="112"/>
        <v>640.96235112471095</v>
      </c>
      <c r="DF27" s="14">
        <f t="shared" si="112"/>
        <v>1055.7758228085597</v>
      </c>
      <c r="DG27" s="14">
        <f t="shared" si="112"/>
        <v>1813.9672982372474</v>
      </c>
      <c r="DH27" s="14">
        <f t="shared" si="112"/>
        <v>2459.9596904612144</v>
      </c>
      <c r="DI27" s="14">
        <f t="shared" si="112"/>
        <v>2377.1930908122918</v>
      </c>
      <c r="DJ27" s="14">
        <f t="shared" si="112"/>
        <v>2501.8862180187489</v>
      </c>
      <c r="DK27" s="14">
        <f t="shared" si="112"/>
        <v>13775.207401058091</v>
      </c>
      <c r="DL27" s="14">
        <f>SUM(DL23:DL26)</f>
        <v>819.07592433534023</v>
      </c>
      <c r="DM27" s="14">
        <f t="shared" ref="DM27:DU27" si="113">SUM(DM23:DM26)</f>
        <v>1901.7690727328297</v>
      </c>
      <c r="DN27" s="14">
        <f t="shared" si="113"/>
        <v>425.43701061510495</v>
      </c>
      <c r="DO27" s="14">
        <f t="shared" si="113"/>
        <v>624.60005469167595</v>
      </c>
      <c r="DP27" s="14">
        <f t="shared" si="113"/>
        <v>936.94073568250633</v>
      </c>
      <c r="DQ27" s="14">
        <f t="shared" si="113"/>
        <v>1830.008095106992</v>
      </c>
      <c r="DR27" s="14">
        <f t="shared" si="113"/>
        <v>2987.7428973548349</v>
      </c>
      <c r="DS27" s="14">
        <f t="shared" si="113"/>
        <v>3100.0637781495407</v>
      </c>
      <c r="DT27" s="14">
        <f t="shared" si="113"/>
        <v>2991.0112786168311</v>
      </c>
      <c r="DU27" s="14">
        <f t="shared" si="113"/>
        <v>15616.648847285656</v>
      </c>
    </row>
    <row r="28" spans="1:125" x14ac:dyDescent="0.25">
      <c r="A28" t="s">
        <v>61</v>
      </c>
      <c r="B28" s="13">
        <f>SUM(B24:B27)</f>
        <v>680</v>
      </c>
      <c r="C28" s="13">
        <f t="shared" ref="C28:J28" si="114">SUM(C24:C27)</f>
        <v>1471</v>
      </c>
      <c r="D28" s="13">
        <f t="shared" si="114"/>
        <v>440</v>
      </c>
      <c r="E28" s="13">
        <f t="shared" si="114"/>
        <v>666</v>
      </c>
      <c r="F28" s="13">
        <f t="shared" si="114"/>
        <v>983</v>
      </c>
      <c r="G28" s="13">
        <f t="shared" si="114"/>
        <v>1403</v>
      </c>
      <c r="H28" s="13">
        <f t="shared" si="114"/>
        <v>2218</v>
      </c>
      <c r="I28" s="13">
        <f t="shared" si="114"/>
        <v>2566</v>
      </c>
      <c r="J28" s="13">
        <f t="shared" si="114"/>
        <v>1549</v>
      </c>
      <c r="K28" s="14">
        <f t="shared" si="1"/>
        <v>11976</v>
      </c>
      <c r="AM28" s="25"/>
    </row>
    <row r="29" spans="1:125" x14ac:dyDescent="0.25">
      <c r="AM29" s="25"/>
      <c r="BN29" s="13" t="s">
        <v>8</v>
      </c>
      <c r="BO29" s="13" t="s">
        <v>9</v>
      </c>
      <c r="BP29" s="13" t="s">
        <v>10</v>
      </c>
      <c r="BQ29" s="13" t="s">
        <v>11</v>
      </c>
      <c r="BR29" s="13" t="s">
        <v>12</v>
      </c>
      <c r="BS29" s="13" t="s">
        <v>13</v>
      </c>
      <c r="BT29" s="13" t="s">
        <v>14</v>
      </c>
      <c r="BU29" s="13" t="s">
        <v>15</v>
      </c>
      <c r="BV29" s="13" t="s">
        <v>16</v>
      </c>
      <c r="BW29" s="13" t="s">
        <v>61</v>
      </c>
      <c r="BX29" s="13" t="s">
        <v>8</v>
      </c>
      <c r="BY29" s="13" t="s">
        <v>9</v>
      </c>
      <c r="BZ29" s="13" t="s">
        <v>10</v>
      </c>
      <c r="CA29" s="13" t="s">
        <v>11</v>
      </c>
      <c r="CB29" s="13" t="s">
        <v>12</v>
      </c>
      <c r="CC29" s="13" t="s">
        <v>13</v>
      </c>
      <c r="CD29" s="13" t="s">
        <v>14</v>
      </c>
      <c r="CE29" s="13" t="s">
        <v>15</v>
      </c>
      <c r="CF29" s="13" t="s">
        <v>16</v>
      </c>
      <c r="CG29" s="13" t="s">
        <v>61</v>
      </c>
      <c r="CH29" s="13" t="s">
        <v>8</v>
      </c>
      <c r="CI29" s="13" t="s">
        <v>9</v>
      </c>
      <c r="CJ29" s="13" t="s">
        <v>10</v>
      </c>
      <c r="CK29" s="13" t="s">
        <v>11</v>
      </c>
      <c r="CL29" s="13" t="s">
        <v>12</v>
      </c>
      <c r="CM29" s="13" t="s">
        <v>13</v>
      </c>
      <c r="CN29" s="13" t="s">
        <v>14</v>
      </c>
      <c r="CO29" s="13" t="s">
        <v>15</v>
      </c>
      <c r="CP29" s="13" t="s">
        <v>16</v>
      </c>
      <c r="CQ29" s="13" t="s">
        <v>61</v>
      </c>
      <c r="CR29" s="13" t="s">
        <v>8</v>
      </c>
      <c r="CS29" s="13" t="s">
        <v>9</v>
      </c>
      <c r="CT29" s="13" t="s">
        <v>10</v>
      </c>
      <c r="CU29" s="13" t="s">
        <v>11</v>
      </c>
      <c r="CV29" s="13" t="s">
        <v>12</v>
      </c>
      <c r="CW29" s="13" t="s">
        <v>13</v>
      </c>
      <c r="CX29" s="13" t="s">
        <v>14</v>
      </c>
      <c r="CY29" s="13" t="s">
        <v>15</v>
      </c>
      <c r="CZ29" s="13" t="s">
        <v>16</v>
      </c>
      <c r="DA29" s="13" t="s">
        <v>61</v>
      </c>
      <c r="DB29" s="13" t="s">
        <v>8</v>
      </c>
      <c r="DC29" s="13" t="s">
        <v>9</v>
      </c>
      <c r="DD29" s="13" t="s">
        <v>10</v>
      </c>
      <c r="DE29" s="13" t="s">
        <v>11</v>
      </c>
      <c r="DF29" s="13" t="s">
        <v>12</v>
      </c>
      <c r="DG29" s="13" t="s">
        <v>13</v>
      </c>
      <c r="DH29" s="13" t="s">
        <v>14</v>
      </c>
      <c r="DI29" s="13" t="s">
        <v>15</v>
      </c>
      <c r="DJ29" s="13" t="s">
        <v>16</v>
      </c>
      <c r="DK29" s="13" t="s">
        <v>61</v>
      </c>
      <c r="DL29" s="13" t="s">
        <v>8</v>
      </c>
      <c r="DM29" s="13" t="s">
        <v>9</v>
      </c>
      <c r="DN29" s="13" t="s">
        <v>10</v>
      </c>
      <c r="DO29" s="13" t="s">
        <v>11</v>
      </c>
      <c r="DP29" s="13" t="s">
        <v>12</v>
      </c>
      <c r="DQ29" s="13" t="s">
        <v>13</v>
      </c>
      <c r="DR29" s="13" t="s">
        <v>14</v>
      </c>
      <c r="DS29" s="13" t="s">
        <v>15</v>
      </c>
      <c r="DT29" s="13" t="s">
        <v>16</v>
      </c>
      <c r="DU29" s="13" t="s">
        <v>61</v>
      </c>
    </row>
    <row r="30" spans="1:125" x14ac:dyDescent="0.25">
      <c r="A30" t="s">
        <v>62</v>
      </c>
      <c r="B30" s="13" t="s">
        <v>8</v>
      </c>
      <c r="C30" s="13" t="s">
        <v>9</v>
      </c>
      <c r="D30" s="13" t="s">
        <v>10</v>
      </c>
      <c r="E30" s="13" t="s">
        <v>11</v>
      </c>
      <c r="F30" s="13" t="s">
        <v>12</v>
      </c>
      <c r="G30" s="13" t="s">
        <v>13</v>
      </c>
      <c r="H30" s="13" t="s">
        <v>14</v>
      </c>
      <c r="I30" s="13" t="s">
        <v>15</v>
      </c>
      <c r="J30" s="13" t="s">
        <v>16</v>
      </c>
      <c r="K30" s="13" t="s">
        <v>61</v>
      </c>
      <c r="AM30" s="25"/>
      <c r="BN30" s="14">
        <f>BN16+BN23</f>
        <v>725.89483820214491</v>
      </c>
      <c r="BO30" s="14">
        <f t="shared" ref="BO30:CR34" si="115">BO16+BO23</f>
        <v>862.07784991091603</v>
      </c>
      <c r="BP30" s="14">
        <f t="shared" si="115"/>
        <v>257.04679808291689</v>
      </c>
      <c r="BQ30" s="14">
        <f t="shared" si="115"/>
        <v>406.36877424627539</v>
      </c>
      <c r="BR30" s="14">
        <f t="shared" si="115"/>
        <v>526.87362684244385</v>
      </c>
      <c r="BS30" s="14">
        <f t="shared" si="115"/>
        <v>742.49232128657127</v>
      </c>
      <c r="BT30" s="14">
        <f t="shared" si="115"/>
        <v>902.61715319531277</v>
      </c>
      <c r="BU30" s="14">
        <f t="shared" si="115"/>
        <v>807.24735430744795</v>
      </c>
      <c r="BV30" s="14">
        <f t="shared" si="115"/>
        <v>400.4240438460622</v>
      </c>
      <c r="BW30" s="26">
        <f t="shared" si="115"/>
        <v>5631.0427599200912</v>
      </c>
      <c r="BX30" s="14">
        <f t="shared" si="115"/>
        <v>706.10405864538234</v>
      </c>
      <c r="BY30" s="14">
        <f t="shared" si="115"/>
        <v>842.34620886307061</v>
      </c>
      <c r="BZ30" s="14">
        <f t="shared" si="115"/>
        <v>240.44478027475327</v>
      </c>
      <c r="CA30" s="14">
        <f t="shared" si="115"/>
        <v>366.63219429831412</v>
      </c>
      <c r="CB30" s="14">
        <f t="shared" si="115"/>
        <v>557.13289637002651</v>
      </c>
      <c r="CC30" s="14">
        <f t="shared" si="115"/>
        <v>955.92622360721339</v>
      </c>
      <c r="CD30" s="14">
        <f t="shared" si="115"/>
        <v>1158.6932223739409</v>
      </c>
      <c r="CE30" s="14">
        <f t="shared" si="115"/>
        <v>818.45020655341716</v>
      </c>
      <c r="CF30" s="14">
        <f t="shared" si="115"/>
        <v>531.04777791016318</v>
      </c>
      <c r="CG30" s="26">
        <f t="shared" si="115"/>
        <v>6176.7775688962811</v>
      </c>
      <c r="CH30" s="14">
        <f t="shared" si="115"/>
        <v>658.24439808390798</v>
      </c>
      <c r="CI30" s="14">
        <f t="shared" si="115"/>
        <v>830.51012941166823</v>
      </c>
      <c r="CJ30" s="14">
        <f t="shared" si="115"/>
        <v>245.52017064781685</v>
      </c>
      <c r="CK30" s="14">
        <f t="shared" si="115"/>
        <v>346.45151830977625</v>
      </c>
      <c r="CL30" s="14">
        <f t="shared" si="115"/>
        <v>507.60105953432605</v>
      </c>
      <c r="CM30" s="14">
        <f t="shared" si="115"/>
        <v>1025.9489936084676</v>
      </c>
      <c r="CN30" s="14">
        <f t="shared" si="115"/>
        <v>1527.4467290112548</v>
      </c>
      <c r="CO30" s="14">
        <f t="shared" si="115"/>
        <v>1101.9769141170927</v>
      </c>
      <c r="CP30" s="14">
        <f t="shared" si="115"/>
        <v>618.15238889550824</v>
      </c>
      <c r="CQ30" s="26">
        <f>CQ16+CQ23</f>
        <v>6861.8523016198178</v>
      </c>
      <c r="CR30" s="27">
        <f t="shared" ref="CR30:DU34" si="116">CR16+CR23</f>
        <v>808.95041652756959</v>
      </c>
      <c r="CS30" s="27">
        <f t="shared" si="116"/>
        <v>888.29485239069027</v>
      </c>
      <c r="CT30" s="27">
        <f t="shared" si="116"/>
        <v>219.66823250735325</v>
      </c>
      <c r="CU30" s="27">
        <f t="shared" si="116"/>
        <v>367.38979596412435</v>
      </c>
      <c r="CV30" s="27">
        <f t="shared" si="116"/>
        <v>465.6566361143071</v>
      </c>
      <c r="CW30" s="27">
        <f t="shared" si="116"/>
        <v>626.067353688151</v>
      </c>
      <c r="CX30" s="27">
        <f t="shared" si="116"/>
        <v>738.99597521497572</v>
      </c>
      <c r="CY30" s="27">
        <f t="shared" si="116"/>
        <v>568.7741443993516</v>
      </c>
      <c r="CZ30" s="27">
        <f t="shared" si="116"/>
        <v>322.88993597136084</v>
      </c>
      <c r="DA30" s="26">
        <f t="shared" si="116"/>
        <v>5006.6873427778837</v>
      </c>
      <c r="DB30" s="27">
        <f t="shared" si="116"/>
        <v>921.54380563226118</v>
      </c>
      <c r="DC30" s="27">
        <f t="shared" si="116"/>
        <v>910.64642267499278</v>
      </c>
      <c r="DD30" s="27">
        <f t="shared" si="116"/>
        <v>147.34026912453237</v>
      </c>
      <c r="DE30" s="27">
        <f t="shared" si="116"/>
        <v>273.2783716264729</v>
      </c>
      <c r="DF30" s="27">
        <f t="shared" si="116"/>
        <v>386.05062770268637</v>
      </c>
      <c r="DG30" s="27">
        <f t="shared" si="116"/>
        <v>558.43877143395923</v>
      </c>
      <c r="DH30" s="27">
        <f t="shared" si="116"/>
        <v>598.18655793250491</v>
      </c>
      <c r="DI30" s="27">
        <f t="shared" si="116"/>
        <v>172.65496360189462</v>
      </c>
      <c r="DJ30" s="27">
        <f t="shared" si="116"/>
        <v>255.95008211431019</v>
      </c>
      <c r="DK30" s="26">
        <f t="shared" si="116"/>
        <v>4224.0898718436147</v>
      </c>
      <c r="DL30" s="27">
        <f t="shared" si="116"/>
        <v>984.61363640244053</v>
      </c>
      <c r="DM30" s="27">
        <f t="shared" si="116"/>
        <v>939.90293188666215</v>
      </c>
      <c r="DN30" s="27">
        <f t="shared" si="116"/>
        <v>91.117090978076632</v>
      </c>
      <c r="DO30" s="27">
        <f t="shared" si="116"/>
        <v>203.60162320586011</v>
      </c>
      <c r="DP30" s="27">
        <f t="shared" si="116"/>
        <v>258.08441019428238</v>
      </c>
      <c r="DQ30" s="27">
        <f t="shared" si="116"/>
        <v>334.66621561786133</v>
      </c>
      <c r="DR30" s="27">
        <f t="shared" si="116"/>
        <v>326.1617093659047</v>
      </c>
      <c r="DS30" s="27">
        <f t="shared" si="116"/>
        <v>0</v>
      </c>
      <c r="DT30" s="27">
        <f t="shared" si="116"/>
        <v>96.716277342210518</v>
      </c>
      <c r="DU30" s="26">
        <f t="shared" si="116"/>
        <v>3234.8638949932983</v>
      </c>
    </row>
    <row r="31" spans="1:125" x14ac:dyDescent="0.25">
      <c r="A31" t="s">
        <v>22</v>
      </c>
      <c r="B31" s="14">
        <f>B17+B24</f>
        <v>738</v>
      </c>
      <c r="C31" s="14">
        <f t="shared" ref="C31:J31" si="117">C17+C24</f>
        <v>877</v>
      </c>
      <c r="D31" s="14">
        <f t="shared" si="117"/>
        <v>279</v>
      </c>
      <c r="E31" s="14">
        <f t="shared" si="117"/>
        <v>403</v>
      </c>
      <c r="F31" s="14">
        <f t="shared" si="117"/>
        <v>497</v>
      </c>
      <c r="G31" s="14">
        <f t="shared" si="117"/>
        <v>666</v>
      </c>
      <c r="H31" s="14">
        <f t="shared" si="117"/>
        <v>913</v>
      </c>
      <c r="I31" s="14">
        <f t="shared" si="117"/>
        <v>789</v>
      </c>
      <c r="J31" s="14">
        <f t="shared" si="117"/>
        <v>327</v>
      </c>
      <c r="K31" s="26">
        <f t="shared" si="1"/>
        <v>5489</v>
      </c>
      <c r="AM31">
        <f>(AM16/AM38)*100</f>
        <v>9.3809416377526418</v>
      </c>
      <c r="AN31">
        <f>(AN16/AM38)*100</f>
        <v>28.105638623951705</v>
      </c>
      <c r="AO31">
        <f>(AO16/AM38)*100</f>
        <v>3.0604782872524154</v>
      </c>
      <c r="AP31">
        <f>(AP16/AM38)*100</f>
        <v>3.1089060384932554</v>
      </c>
      <c r="AQ31">
        <f>(AQ16/AM38)*100</f>
        <v>2.5876756235316085</v>
      </c>
      <c r="AR31">
        <f>(AR16/AM38)*100</f>
        <v>1.6093961506744876</v>
      </c>
      <c r="AS31">
        <f>(AS16/AM38)*100</f>
        <v>0.87520032362963085</v>
      </c>
      <c r="AT31">
        <f>(AT16/AM38)*100</f>
        <v>0.51636819094148223</v>
      </c>
      <c r="AU31">
        <f>(AU16/AM38)*100</f>
        <v>0.21218745623998383</v>
      </c>
      <c r="AV31">
        <f>(AV16/AN38)*100</f>
        <v>9.1542667299107361</v>
      </c>
      <c r="AW31">
        <f>(AW16/AN38)*100</f>
        <v>27.549936463133978</v>
      </c>
      <c r="AX31">
        <f>(AX16/AN38)*100</f>
        <v>2.8899026158449819</v>
      </c>
      <c r="AY31">
        <f>(AY16/AN38)*100</f>
        <v>2.8539862307510622</v>
      </c>
      <c r="AZ31">
        <f>(AZ16/AN38)*100</f>
        <v>2.7809822740927697</v>
      </c>
      <c r="BA31">
        <f>(BA16/AN38)*100</f>
        <v>2.1690373432806105</v>
      </c>
      <c r="BB31">
        <f>(BB16/AN38)*100</f>
        <v>1.215886754076217</v>
      </c>
      <c r="BC31">
        <f>(BC16/AN38)*100</f>
        <v>0.54948165238795155</v>
      </c>
      <c r="BD31">
        <f>(BD16/AN38)*100</f>
        <v>0.29591978153468373</v>
      </c>
      <c r="BE31">
        <f>(BE16/AO38)*100</f>
        <v>8.5909458620987564</v>
      </c>
      <c r="BF31">
        <f>(BF16/AO38)*100</f>
        <v>27.299663061662073</v>
      </c>
      <c r="BG31">
        <f>(BG16/AO38)*100</f>
        <v>2.9749141946074156</v>
      </c>
      <c r="BH31">
        <f>(BH16/AO38)*100</f>
        <v>2.7410601383881938</v>
      </c>
      <c r="BI31">
        <f>(BI16/AO38)*100</f>
        <v>2.6014545683026631</v>
      </c>
      <c r="BJ31">
        <f>(BJ16/AO38)*100</f>
        <v>2.3901808785529712</v>
      </c>
      <c r="BK31">
        <f>(BK16/AO38)*100</f>
        <v>1.6939201872403258</v>
      </c>
      <c r="BL31">
        <f>(BL16/AO38)*100</f>
        <v>0.80425374834083396</v>
      </c>
      <c r="BM31">
        <f>(BM16/AO38)*100</f>
        <v>0.35657343920579943</v>
      </c>
      <c r="BN31" s="14">
        <f t="shared" ref="BN31:CC34" si="118">BN17+BN24</f>
        <v>554.82861282635236</v>
      </c>
      <c r="BO31" s="14">
        <f t="shared" si="118"/>
        <v>1041.6602892448952</v>
      </c>
      <c r="BP31" s="14">
        <f t="shared" si="118"/>
        <v>312.29966779921114</v>
      </c>
      <c r="BQ31" s="14">
        <f t="shared" si="118"/>
        <v>509.1972955349861</v>
      </c>
      <c r="BR31" s="14">
        <f t="shared" si="118"/>
        <v>657.68163245153551</v>
      </c>
      <c r="BS31" s="14">
        <f t="shared" si="118"/>
        <v>796.37849292411681</v>
      </c>
      <c r="BT31" s="14">
        <f t="shared" si="118"/>
        <v>1019.306965908993</v>
      </c>
      <c r="BU31" s="14">
        <f t="shared" si="118"/>
        <v>1192.8209769534567</v>
      </c>
      <c r="BV31" s="14">
        <f t="shared" si="118"/>
        <v>738.40713940815351</v>
      </c>
      <c r="BW31" s="26">
        <f t="shared" si="118"/>
        <v>6822.5810730517005</v>
      </c>
      <c r="BX31" s="14">
        <f t="shared" si="118"/>
        <v>539.66258544151651</v>
      </c>
      <c r="BY31" s="14">
        <f t="shared" si="118"/>
        <v>1017.7827392274498</v>
      </c>
      <c r="BZ31" s="14">
        <f t="shared" si="118"/>
        <v>292.21805453261493</v>
      </c>
      <c r="CA31" s="14">
        <f t="shared" si="118"/>
        <v>459.8586026733534</v>
      </c>
      <c r="CB31" s="14">
        <f t="shared" si="118"/>
        <v>696.30202452546564</v>
      </c>
      <c r="CC31" s="14">
        <f t="shared" si="118"/>
        <v>1026.3285297512377</v>
      </c>
      <c r="CD31" s="14">
        <f t="shared" si="115"/>
        <v>1314.3807116308492</v>
      </c>
      <c r="CE31" s="14">
        <f t="shared" si="115"/>
        <v>1210.9639175960151</v>
      </c>
      <c r="CF31" s="14">
        <f t="shared" si="115"/>
        <v>978.71910050355257</v>
      </c>
      <c r="CG31" s="26">
        <f t="shared" si="115"/>
        <v>7536.2162658820553</v>
      </c>
      <c r="CH31" s="14">
        <f t="shared" si="115"/>
        <v>503.14726466751154</v>
      </c>
      <c r="CI31" s="14">
        <f t="shared" si="115"/>
        <v>1003.4146540774652</v>
      </c>
      <c r="CJ31" s="14">
        <f t="shared" si="115"/>
        <v>298.4212363248804</v>
      </c>
      <c r="CK31" s="14">
        <f t="shared" si="115"/>
        <v>434.87355466640088</v>
      </c>
      <c r="CL31" s="14">
        <f t="shared" si="115"/>
        <v>635.67895068223993</v>
      </c>
      <c r="CM31" s="14">
        <f t="shared" si="115"/>
        <v>1102.061510422217</v>
      </c>
      <c r="CN31" s="14">
        <f t="shared" si="115"/>
        <v>1738.0958142662205</v>
      </c>
      <c r="CO31" s="14">
        <f t="shared" si="115"/>
        <v>1634.4112088789175</v>
      </c>
      <c r="CP31" s="14">
        <f t="shared" si="115"/>
        <v>1138.8317444988618</v>
      </c>
      <c r="CQ31" s="26">
        <f t="shared" si="115"/>
        <v>8488.9359384847157</v>
      </c>
      <c r="CR31" s="27">
        <f t="shared" si="115"/>
        <v>682.62030629002538</v>
      </c>
      <c r="CS31" s="27">
        <f t="shared" si="116"/>
        <v>1124.3955561942259</v>
      </c>
      <c r="CT31" s="27">
        <f t="shared" si="116"/>
        <v>327.93429241904835</v>
      </c>
      <c r="CU31" s="27">
        <f t="shared" si="116"/>
        <v>568.07722623608277</v>
      </c>
      <c r="CV31" s="27">
        <f t="shared" si="116"/>
        <v>705.48435958092659</v>
      </c>
      <c r="CW31" s="27">
        <f t="shared" si="116"/>
        <v>826.46699990533602</v>
      </c>
      <c r="CX31" s="27">
        <f t="shared" si="116"/>
        <v>1033.9356847789618</v>
      </c>
      <c r="CY31" s="27">
        <f t="shared" si="116"/>
        <v>1199.6088529740523</v>
      </c>
      <c r="CZ31" s="27">
        <f t="shared" si="116"/>
        <v>740.34176615141564</v>
      </c>
      <c r="DA31" s="26">
        <f t="shared" si="116"/>
        <v>7208.8650445300746</v>
      </c>
      <c r="DB31" s="27">
        <f t="shared" si="116"/>
        <v>871.13081962986485</v>
      </c>
      <c r="DC31" s="27">
        <f t="shared" si="116"/>
        <v>1233.3629371872844</v>
      </c>
      <c r="DD31" s="27">
        <f t="shared" si="116"/>
        <v>331.02303183294089</v>
      </c>
      <c r="DE31" s="27">
        <f t="shared" si="116"/>
        <v>601.71801554295928</v>
      </c>
      <c r="DF31" s="27">
        <f t="shared" si="116"/>
        <v>831.47010591231447</v>
      </c>
      <c r="DG31" s="27">
        <f t="shared" si="116"/>
        <v>1130.2433133295144</v>
      </c>
      <c r="DH31" s="27">
        <f t="shared" si="116"/>
        <v>1370.2722053255384</v>
      </c>
      <c r="DI31" s="27">
        <f t="shared" si="116"/>
        <v>1228.0522861482355</v>
      </c>
      <c r="DJ31" s="27">
        <f t="shared" si="116"/>
        <v>989.57493851890263</v>
      </c>
      <c r="DK31" s="26">
        <f t="shared" si="116"/>
        <v>8586.8476534275542</v>
      </c>
      <c r="DL31" s="27">
        <f t="shared" si="116"/>
        <v>1005.3231550320436</v>
      </c>
      <c r="DM31" s="27">
        <f t="shared" si="116"/>
        <v>1348.8181266465781</v>
      </c>
      <c r="DN31" s="27">
        <f t="shared" si="116"/>
        <v>362.68632138378126</v>
      </c>
      <c r="DO31" s="27">
        <f t="shared" si="116"/>
        <v>652.94081868975627</v>
      </c>
      <c r="DP31" s="27">
        <f t="shared" si="116"/>
        <v>836.71491275198127</v>
      </c>
      <c r="DQ31" s="27">
        <f t="shared" si="116"/>
        <v>1283.8305349092084</v>
      </c>
      <c r="DR31" s="27">
        <f t="shared" si="116"/>
        <v>1866.5055763139489</v>
      </c>
      <c r="DS31" s="27">
        <f t="shared" si="116"/>
        <v>1666.6993149475154</v>
      </c>
      <c r="DT31" s="27">
        <f t="shared" si="116"/>
        <v>1164.2120233193887</v>
      </c>
      <c r="DU31" s="26">
        <f t="shared" si="116"/>
        <v>10187.7307839942</v>
      </c>
    </row>
    <row r="32" spans="1:125" x14ac:dyDescent="0.25">
      <c r="A32" t="s">
        <v>23</v>
      </c>
      <c r="B32" s="14">
        <f t="shared" ref="B32:J35" si="119">B18+B25</f>
        <v>564</v>
      </c>
      <c r="C32" s="14">
        <f t="shared" si="119"/>
        <v>1060</v>
      </c>
      <c r="D32" s="14">
        <f t="shared" si="119"/>
        <v>339</v>
      </c>
      <c r="E32" s="14">
        <f t="shared" si="119"/>
        <v>505</v>
      </c>
      <c r="F32" s="14">
        <f t="shared" si="119"/>
        <v>619</v>
      </c>
      <c r="G32" s="14">
        <f t="shared" si="119"/>
        <v>714</v>
      </c>
      <c r="H32" s="14">
        <f t="shared" si="119"/>
        <v>1028</v>
      </c>
      <c r="I32" s="14">
        <f t="shared" si="119"/>
        <v>1164</v>
      </c>
      <c r="J32" s="14">
        <f t="shared" si="119"/>
        <v>604</v>
      </c>
      <c r="K32" s="26">
        <f t="shared" si="1"/>
        <v>6597</v>
      </c>
      <c r="AM32">
        <f>(AM23/AM38)*100</f>
        <v>8.8553546700689267</v>
      </c>
      <c r="AN32">
        <f>(AN23/AM38)*100</f>
        <v>26.681862737471025</v>
      </c>
      <c r="AO32">
        <f>(AO23/AM38)*100</f>
        <v>3.2353238630175349</v>
      </c>
      <c r="AP32">
        <f>(AP23/AM38)*100</f>
        <v>3.5081918750291736</v>
      </c>
      <c r="AQ32">
        <f>(AQ23/AM38)*100</f>
        <v>3.1380793826142428</v>
      </c>
      <c r="AR32">
        <f>(AR23/AM38)*100</f>
        <v>2.2208694434503897</v>
      </c>
      <c r="AS32">
        <f>(AS23/AM38)*100</f>
        <v>1.4499152028130882</v>
      </c>
      <c r="AT32">
        <f>(AT23/AM38)*100</f>
        <v>0.98547556440696427</v>
      </c>
      <c r="AU32">
        <f>(AU23/AM38)*100</f>
        <v>0.46813492866144923</v>
      </c>
      <c r="AV32">
        <f>(AV23/AN38)*100</f>
        <v>8.6510079035566978</v>
      </c>
      <c r="AW32">
        <f>(AW23/AN38)*100</f>
        <v>26.179687332251934</v>
      </c>
      <c r="AX32">
        <f>(AX23/AN38)*100</f>
        <v>3.0197091163202883</v>
      </c>
      <c r="AY32">
        <f>(AY23/AN38)*100</f>
        <v>3.1379989498361316</v>
      </c>
      <c r="AZ32">
        <f>(AZ23/AN38)*100</f>
        <v>3.3046978241307352</v>
      </c>
      <c r="BA32">
        <f>(BA23/AN38)*100</f>
        <v>2.8215834050685045</v>
      </c>
      <c r="BB32">
        <f>(BB23/AN38)*100</f>
        <v>1.8247085209671658</v>
      </c>
      <c r="BC32">
        <f>(BC23/AN38)*100</f>
        <v>0.9898477652786154</v>
      </c>
      <c r="BD32">
        <f>(BD23/AN38)*100</f>
        <v>0.61135933757693228</v>
      </c>
      <c r="BE32">
        <f>(BE23/AO38)*100</f>
        <v>8.103092135749236</v>
      </c>
      <c r="BF32">
        <f>(BF23/AO38)*100</f>
        <v>25.989923266024206</v>
      </c>
      <c r="BG32">
        <f>(BG23/AO38)*100</f>
        <v>3.0946883124023152</v>
      </c>
      <c r="BH32">
        <f>(BH23/AO38)*100</f>
        <v>2.9546900402912279</v>
      </c>
      <c r="BI32">
        <f>(BI23/AO38)*100</f>
        <v>2.9896405205658052</v>
      </c>
      <c r="BJ32">
        <f>(BJ23/AO38)*100</f>
        <v>3.0200749275464767</v>
      </c>
      <c r="BK32">
        <f>(BK23/AO38)*100</f>
        <v>2.3795779238629313</v>
      </c>
      <c r="BL32">
        <f>(BL23/AO38)*100</f>
        <v>1.3082867981433048</v>
      </c>
      <c r="BM32">
        <f>(BM23/AO38)*100</f>
        <v>0.70705999701546463</v>
      </c>
      <c r="BN32" s="14">
        <f t="shared" si="118"/>
        <v>304.0018682427077</v>
      </c>
      <c r="BO32" s="14">
        <f t="shared" si="118"/>
        <v>861.6157796525132</v>
      </c>
      <c r="BP32" s="14">
        <f t="shared" si="118"/>
        <v>209.0884345720853</v>
      </c>
      <c r="BQ32" s="14">
        <f t="shared" si="118"/>
        <v>318.61911362545879</v>
      </c>
      <c r="BR32" s="14">
        <f t="shared" si="118"/>
        <v>506.11969793424424</v>
      </c>
      <c r="BS32" s="14">
        <f t="shared" si="118"/>
        <v>551.53558137602965</v>
      </c>
      <c r="BT32" s="14">
        <f t="shared" si="118"/>
        <v>717.13024279122112</v>
      </c>
      <c r="BU32" s="14">
        <f t="shared" si="118"/>
        <v>932.15145795970807</v>
      </c>
      <c r="BV32" s="14">
        <f t="shared" si="118"/>
        <v>734.98581211159672</v>
      </c>
      <c r="BW32" s="26">
        <f t="shared" si="118"/>
        <v>5135.2479882655643</v>
      </c>
      <c r="BX32" s="14">
        <f t="shared" si="118"/>
        <v>295.67900812233222</v>
      </c>
      <c r="BY32" s="14">
        <f t="shared" si="118"/>
        <v>841.84065923358571</v>
      </c>
      <c r="BZ32" s="14">
        <f t="shared" si="118"/>
        <v>195.75510348592189</v>
      </c>
      <c r="CA32" s="14">
        <f t="shared" si="118"/>
        <v>287.8838220260759</v>
      </c>
      <c r="CB32" s="14">
        <f t="shared" si="118"/>
        <v>536.66485925344455</v>
      </c>
      <c r="CC32" s="14">
        <f t="shared" si="118"/>
        <v>715.33772833344392</v>
      </c>
      <c r="CD32" s="14">
        <f t="shared" si="115"/>
        <v>929.09352163038193</v>
      </c>
      <c r="CE32" s="14">
        <f t="shared" si="115"/>
        <v>946.86740284527025</v>
      </c>
      <c r="CF32" s="14">
        <f t="shared" si="115"/>
        <v>972.01408441871979</v>
      </c>
      <c r="CG32" s="26">
        <f t="shared" si="115"/>
        <v>5721.1361893491758</v>
      </c>
      <c r="CH32" s="14">
        <f t="shared" si="115"/>
        <v>275.69342764054903</v>
      </c>
      <c r="CI32" s="14">
        <f t="shared" si="115"/>
        <v>829.90995115109058</v>
      </c>
      <c r="CJ32" s="14">
        <f t="shared" si="115"/>
        <v>199.95433763288932</v>
      </c>
      <c r="CK32" s="14">
        <f t="shared" si="115"/>
        <v>272.34159348127366</v>
      </c>
      <c r="CL32" s="14">
        <f t="shared" si="115"/>
        <v>491.18460698636648</v>
      </c>
      <c r="CM32" s="14">
        <f t="shared" si="115"/>
        <v>770.57228003252408</v>
      </c>
      <c r="CN32" s="14">
        <f t="shared" si="115"/>
        <v>1232.5969679339796</v>
      </c>
      <c r="CO32" s="14">
        <f t="shared" si="115"/>
        <v>1279.2997994083644</v>
      </c>
      <c r="CP32" s="14">
        <f t="shared" si="115"/>
        <v>1129.4164936946202</v>
      </c>
      <c r="CQ32" s="26">
        <f t="shared" si="115"/>
        <v>6480.9694579616571</v>
      </c>
      <c r="CR32" s="27">
        <f t="shared" si="115"/>
        <v>322.8006290718406</v>
      </c>
      <c r="CS32" s="27">
        <f t="shared" si="116"/>
        <v>947.71781103572414</v>
      </c>
      <c r="CT32" s="27">
        <f t="shared" si="116"/>
        <v>236.86210709523752</v>
      </c>
      <c r="CU32" s="27">
        <f t="shared" si="116"/>
        <v>370.32285583916109</v>
      </c>
      <c r="CV32" s="27">
        <f t="shared" si="116"/>
        <v>599.83193716769665</v>
      </c>
      <c r="CW32" s="27">
        <f t="shared" si="116"/>
        <v>615.81624744353905</v>
      </c>
      <c r="CX32" s="27">
        <f t="shared" si="116"/>
        <v>802.87456323859703</v>
      </c>
      <c r="CY32" s="27">
        <f t="shared" si="116"/>
        <v>1043.3775599845467</v>
      </c>
      <c r="CZ32" s="27">
        <f t="shared" si="116"/>
        <v>805.99773063132079</v>
      </c>
      <c r="DA32" s="26">
        <f t="shared" si="116"/>
        <v>5745.6014415076643</v>
      </c>
      <c r="DB32" s="27">
        <f t="shared" si="116"/>
        <v>344.40031350345453</v>
      </c>
      <c r="DC32" s="27">
        <f t="shared" si="116"/>
        <v>1066.1690811933599</v>
      </c>
      <c r="DD32" s="27">
        <f t="shared" si="116"/>
        <v>265.08315488995186</v>
      </c>
      <c r="DE32" s="27">
        <f t="shared" si="116"/>
        <v>412.73323445683815</v>
      </c>
      <c r="DF32" s="27">
        <f t="shared" si="116"/>
        <v>802.04121389683837</v>
      </c>
      <c r="DG32" s="27">
        <f t="shared" si="116"/>
        <v>940.27180668113533</v>
      </c>
      <c r="DH32" s="27">
        <f t="shared" si="116"/>
        <v>1228.2372793466673</v>
      </c>
      <c r="DI32" s="27">
        <f t="shared" si="116"/>
        <v>1249.8190116888502</v>
      </c>
      <c r="DJ32" s="27">
        <f t="shared" si="116"/>
        <v>1218.6310160865721</v>
      </c>
      <c r="DK32" s="26">
        <f t="shared" si="116"/>
        <v>7527.3861117436672</v>
      </c>
      <c r="DL32" s="27">
        <f t="shared" si="116"/>
        <v>349.60884315976261</v>
      </c>
      <c r="DM32" s="27">
        <f t="shared" si="116"/>
        <v>1189.2551565396986</v>
      </c>
      <c r="DN32" s="27">
        <f t="shared" si="116"/>
        <v>315.02135901462202</v>
      </c>
      <c r="DO32" s="27">
        <f t="shared" si="116"/>
        <v>464.58864765539317</v>
      </c>
      <c r="DP32" s="27">
        <f t="shared" si="116"/>
        <v>886.84280652376549</v>
      </c>
      <c r="DQ32" s="27">
        <f t="shared" si="116"/>
        <v>1166.5827025382778</v>
      </c>
      <c r="DR32" s="27">
        <f t="shared" si="116"/>
        <v>1881.8050707442085</v>
      </c>
      <c r="DS32" s="27">
        <f t="shared" si="116"/>
        <v>1951.145810797809</v>
      </c>
      <c r="DT32" s="27">
        <f t="shared" si="116"/>
        <v>1590.4430125154299</v>
      </c>
      <c r="DU32" s="26">
        <f t="shared" si="116"/>
        <v>9795.2934094889679</v>
      </c>
    </row>
    <row r="33" spans="1:125" x14ac:dyDescent="0.25">
      <c r="A33" t="s">
        <v>24</v>
      </c>
      <c r="B33" s="14">
        <f t="shared" si="119"/>
        <v>309</v>
      </c>
      <c r="C33" s="14">
        <f t="shared" si="119"/>
        <v>877</v>
      </c>
      <c r="D33" s="14">
        <f t="shared" si="119"/>
        <v>227</v>
      </c>
      <c r="E33" s="14">
        <f t="shared" si="119"/>
        <v>316</v>
      </c>
      <c r="F33" s="14">
        <f t="shared" si="119"/>
        <v>475</v>
      </c>
      <c r="G33" s="14">
        <f t="shared" si="119"/>
        <v>493</v>
      </c>
      <c r="H33" s="14">
        <f t="shared" si="119"/>
        <v>721</v>
      </c>
      <c r="I33" s="14">
        <f t="shared" si="119"/>
        <v>909</v>
      </c>
      <c r="J33" s="14">
        <f t="shared" si="119"/>
        <v>605</v>
      </c>
      <c r="K33" s="26">
        <f t="shared" si="1"/>
        <v>4932</v>
      </c>
      <c r="BN33" s="14">
        <f t="shared" si="118"/>
        <v>240.0190854332771</v>
      </c>
      <c r="BO33" s="14">
        <f t="shared" si="118"/>
        <v>642.50368931542675</v>
      </c>
      <c r="BP33" s="14">
        <f t="shared" si="118"/>
        <v>100.39608375476769</v>
      </c>
      <c r="BQ33" s="14">
        <f t="shared" si="118"/>
        <v>127.03575825100533</v>
      </c>
      <c r="BR33" s="14">
        <f t="shared" si="118"/>
        <v>168.19797280053865</v>
      </c>
      <c r="BS33" s="14">
        <f t="shared" si="118"/>
        <v>221.58132688158463</v>
      </c>
      <c r="BT33" s="14">
        <f t="shared" si="118"/>
        <v>330.55898390127982</v>
      </c>
      <c r="BU33" s="14">
        <f t="shared" si="118"/>
        <v>452.0800844869583</v>
      </c>
      <c r="BV33" s="14">
        <f t="shared" si="118"/>
        <v>493.24672941737163</v>
      </c>
      <c r="BW33" s="26">
        <f t="shared" si="118"/>
        <v>2775.6197142422097</v>
      </c>
      <c r="BX33" s="14">
        <f t="shared" si="118"/>
        <v>233.46472115888679</v>
      </c>
      <c r="BY33" s="14">
        <f t="shared" si="118"/>
        <v>627.75465474628072</v>
      </c>
      <c r="BZ33" s="14">
        <f t="shared" si="118"/>
        <v>94.004927314120309</v>
      </c>
      <c r="CA33" s="14">
        <f t="shared" si="118"/>
        <v>114.94233904741895</v>
      </c>
      <c r="CB33" s="14">
        <f t="shared" si="118"/>
        <v>178.26117148363912</v>
      </c>
      <c r="CC33" s="14">
        <f t="shared" si="118"/>
        <v>287.58699413854805</v>
      </c>
      <c r="CD33" s="14">
        <f t="shared" si="115"/>
        <v>426.98553977994942</v>
      </c>
      <c r="CE33" s="14">
        <f t="shared" si="115"/>
        <v>458.23515796287143</v>
      </c>
      <c r="CF33" s="14">
        <f t="shared" si="115"/>
        <v>648.32417490766113</v>
      </c>
      <c r="CG33" s="26">
        <f t="shared" si="115"/>
        <v>3069.5596805393761</v>
      </c>
      <c r="CH33" s="14">
        <f t="shared" si="115"/>
        <v>217.65735523062213</v>
      </c>
      <c r="CI33" s="14">
        <f t="shared" si="115"/>
        <v>618.85273851934107</v>
      </c>
      <c r="CJ33" s="14">
        <f t="shared" si="115"/>
        <v>96.025778570701277</v>
      </c>
      <c r="CK33" s="14">
        <f t="shared" si="115"/>
        <v>108.85293616669927</v>
      </c>
      <c r="CL33" s="14">
        <f t="shared" si="115"/>
        <v>163.02195762653264</v>
      </c>
      <c r="CM33" s="14">
        <f t="shared" si="115"/>
        <v>309.89864340418535</v>
      </c>
      <c r="CN33" s="14">
        <f t="shared" si="115"/>
        <v>565.30441935584849</v>
      </c>
      <c r="CO33" s="14">
        <f t="shared" si="115"/>
        <v>616.68145155991829</v>
      </c>
      <c r="CP33" s="14">
        <f t="shared" si="115"/>
        <v>750.33620874538303</v>
      </c>
      <c r="CQ33" s="26">
        <f t="shared" si="115"/>
        <v>3446.6314891792317</v>
      </c>
      <c r="CR33" s="27">
        <f t="shared" si="115"/>
        <v>210.35497291914277</v>
      </c>
      <c r="CS33" s="27">
        <f t="shared" si="116"/>
        <v>715.19418162460079</v>
      </c>
      <c r="CT33" s="27">
        <f t="shared" si="116"/>
        <v>123.24108535017375</v>
      </c>
      <c r="CU33" s="27">
        <f t="shared" si="116"/>
        <v>128.03930891295306</v>
      </c>
      <c r="CV33" s="27">
        <f t="shared" si="116"/>
        <v>161.43528088063326</v>
      </c>
      <c r="CW33" s="27">
        <f t="shared" si="116"/>
        <v>230.14435489313658</v>
      </c>
      <c r="CX33" s="27">
        <f t="shared" si="116"/>
        <v>348.13162420876097</v>
      </c>
      <c r="CY33" s="27">
        <f t="shared" si="116"/>
        <v>478.18014985214552</v>
      </c>
      <c r="CZ33" s="27">
        <f t="shared" si="116"/>
        <v>541.94673677603612</v>
      </c>
      <c r="DA33" s="26">
        <f t="shared" si="116"/>
        <v>2936.6676954175828</v>
      </c>
      <c r="DB33" s="27">
        <f t="shared" si="116"/>
        <v>156.50211675893132</v>
      </c>
      <c r="DC33" s="27">
        <f t="shared" si="116"/>
        <v>817.17633088434013</v>
      </c>
      <c r="DD33" s="27">
        <f t="shared" si="116"/>
        <v>151.13248441151464</v>
      </c>
      <c r="DE33" s="27">
        <f t="shared" si="116"/>
        <v>117.58050913364849</v>
      </c>
      <c r="DF33" s="27">
        <f t="shared" si="116"/>
        <v>159.23553417383636</v>
      </c>
      <c r="DG33" s="27">
        <f t="shared" si="116"/>
        <v>317.06679279985656</v>
      </c>
      <c r="DH33" s="27">
        <f t="shared" si="116"/>
        <v>489.687385908593</v>
      </c>
      <c r="DI33" s="27">
        <f t="shared" si="116"/>
        <v>530.93771795840132</v>
      </c>
      <c r="DJ33" s="27">
        <f t="shared" si="116"/>
        <v>818.58971185633641</v>
      </c>
      <c r="DK33" s="26">
        <f t="shared" si="116"/>
        <v>3557.9085838854585</v>
      </c>
      <c r="DL33" s="27">
        <f t="shared" si="116"/>
        <v>101.10912147492172</v>
      </c>
      <c r="DM33" s="27">
        <f t="shared" si="116"/>
        <v>922.39009859597184</v>
      </c>
      <c r="DN33" s="27">
        <f t="shared" si="116"/>
        <v>190.90828410817147</v>
      </c>
      <c r="DO33" s="27">
        <f t="shared" si="116"/>
        <v>113.16655935067287</v>
      </c>
      <c r="DP33" s="27">
        <f t="shared" si="116"/>
        <v>134.96173240454408</v>
      </c>
      <c r="DQ33" s="27">
        <f t="shared" si="116"/>
        <v>361.38340443276377</v>
      </c>
      <c r="DR33" s="27">
        <f t="shared" si="116"/>
        <v>703.42450687074506</v>
      </c>
      <c r="DS33" s="27">
        <f t="shared" si="116"/>
        <v>784.3711593186672</v>
      </c>
      <c r="DT33" s="27">
        <f t="shared" si="116"/>
        <v>1070.0272504170152</v>
      </c>
      <c r="DU33" s="26">
        <f t="shared" si="116"/>
        <v>4381.7421169734735</v>
      </c>
    </row>
    <row r="34" spans="1:125" x14ac:dyDescent="0.25">
      <c r="A34" t="s">
        <v>25</v>
      </c>
      <c r="B34" s="14">
        <f t="shared" si="119"/>
        <v>244</v>
      </c>
      <c r="C34" s="14">
        <f t="shared" si="119"/>
        <v>654</v>
      </c>
      <c r="D34" s="14">
        <f t="shared" si="119"/>
        <v>109</v>
      </c>
      <c r="E34" s="14">
        <f t="shared" si="119"/>
        <v>126</v>
      </c>
      <c r="F34" s="14">
        <f t="shared" si="119"/>
        <v>158</v>
      </c>
      <c r="G34" s="14">
        <f t="shared" si="119"/>
        <v>198</v>
      </c>
      <c r="H34" s="14">
        <f t="shared" si="119"/>
        <v>333</v>
      </c>
      <c r="I34" s="14">
        <f t="shared" si="119"/>
        <v>442</v>
      </c>
      <c r="J34" s="14">
        <f t="shared" si="119"/>
        <v>413</v>
      </c>
      <c r="K34" s="26">
        <f t="shared" si="1"/>
        <v>2677</v>
      </c>
      <c r="BN34" s="14">
        <f t="shared" si="118"/>
        <v>1824.7444047044819</v>
      </c>
      <c r="BO34" s="14">
        <f t="shared" si="118"/>
        <v>3407.8576081237516</v>
      </c>
      <c r="BP34" s="14">
        <f t="shared" si="118"/>
        <v>878.83098420898102</v>
      </c>
      <c r="BQ34" s="14">
        <f t="shared" si="118"/>
        <v>1361.2209416577257</v>
      </c>
      <c r="BR34" s="14">
        <f t="shared" si="118"/>
        <v>1858.8729300287623</v>
      </c>
      <c r="BS34" s="14">
        <f t="shared" si="118"/>
        <v>2311.9877224683023</v>
      </c>
      <c r="BT34" s="14">
        <f t="shared" si="118"/>
        <v>2969.6133457968062</v>
      </c>
      <c r="BU34" s="14">
        <f t="shared" si="118"/>
        <v>3384.2998737075709</v>
      </c>
      <c r="BV34" s="14">
        <f t="shared" si="118"/>
        <v>2367.0637247831837</v>
      </c>
      <c r="BW34" s="26">
        <f t="shared" si="118"/>
        <v>20364.491535479567</v>
      </c>
      <c r="BX34" s="14">
        <f t="shared" si="118"/>
        <v>1774.9103733681177</v>
      </c>
      <c r="BY34" s="14">
        <f t="shared" si="118"/>
        <v>3329.7242620703869</v>
      </c>
      <c r="BZ34" s="14">
        <f t="shared" si="118"/>
        <v>822.42286560741036</v>
      </c>
      <c r="CA34" s="14">
        <f t="shared" si="118"/>
        <v>1229.3169580451624</v>
      </c>
      <c r="CB34" s="14">
        <f t="shared" si="118"/>
        <v>1968.360951632576</v>
      </c>
      <c r="CC34" s="14">
        <f t="shared" si="118"/>
        <v>2985.1794758304427</v>
      </c>
      <c r="CD34" s="14">
        <f t="shared" si="115"/>
        <v>3829.1529954151219</v>
      </c>
      <c r="CE34" s="14">
        <f t="shared" si="115"/>
        <v>3434.5166849575739</v>
      </c>
      <c r="CF34" s="14">
        <f t="shared" si="115"/>
        <v>3130.1051377400963</v>
      </c>
      <c r="CG34" s="26">
        <f t="shared" si="115"/>
        <v>22503.689704666889</v>
      </c>
      <c r="CH34" s="14">
        <f t="shared" si="115"/>
        <v>1654.7424456225906</v>
      </c>
      <c r="CI34" s="14">
        <f t="shared" si="115"/>
        <v>3282.6874731595653</v>
      </c>
      <c r="CJ34" s="14">
        <f t="shared" si="115"/>
        <v>839.92152317628779</v>
      </c>
      <c r="CK34" s="14">
        <f t="shared" si="115"/>
        <v>1162.5196026241501</v>
      </c>
      <c r="CL34" s="14">
        <f t="shared" si="115"/>
        <v>1797.4865748294651</v>
      </c>
      <c r="CM34" s="14">
        <f t="shared" si="115"/>
        <v>3208.4814274673945</v>
      </c>
      <c r="CN34" s="14">
        <f t="shared" si="115"/>
        <v>5063.4439305673031</v>
      </c>
      <c r="CO34" s="14">
        <f t="shared" si="115"/>
        <v>4632.3693739642931</v>
      </c>
      <c r="CP34" s="14">
        <f t="shared" si="115"/>
        <v>3636.7368358343729</v>
      </c>
      <c r="CQ34" s="26">
        <f t="shared" si="115"/>
        <v>25278.389187245422</v>
      </c>
      <c r="CR34" s="27">
        <f t="shared" si="115"/>
        <v>2024.7263248085783</v>
      </c>
      <c r="CS34" s="27">
        <f t="shared" si="116"/>
        <v>3675.6024012452408</v>
      </c>
      <c r="CT34" s="27">
        <f t="shared" si="116"/>
        <v>907.70571737181285</v>
      </c>
      <c r="CU34" s="27">
        <f t="shared" si="116"/>
        <v>1433.8291869523214</v>
      </c>
      <c r="CV34" s="27">
        <f t="shared" si="116"/>
        <v>1932.4082137435637</v>
      </c>
      <c r="CW34" s="27">
        <f t="shared" si="116"/>
        <v>2298.4949559301626</v>
      </c>
      <c r="CX34" s="27">
        <f t="shared" si="116"/>
        <v>2923.9378474412952</v>
      </c>
      <c r="CY34" s="27">
        <f t="shared" si="116"/>
        <v>3289.9407072100958</v>
      </c>
      <c r="CZ34" s="27">
        <f t="shared" si="116"/>
        <v>2411.1761695301334</v>
      </c>
      <c r="DA34" s="26">
        <f t="shared" si="116"/>
        <v>20897.821524233201</v>
      </c>
      <c r="DB34" s="27">
        <f t="shared" si="116"/>
        <v>2293.5770555245117</v>
      </c>
      <c r="DC34" s="27">
        <f t="shared" si="116"/>
        <v>4027.3547719399767</v>
      </c>
      <c r="DD34" s="27">
        <f t="shared" si="116"/>
        <v>894.57894025893961</v>
      </c>
      <c r="DE34" s="27">
        <f t="shared" si="116"/>
        <v>1405.3101307599188</v>
      </c>
      <c r="DF34" s="27">
        <f t="shared" si="116"/>
        <v>2178.7974816856758</v>
      </c>
      <c r="DG34" s="27">
        <f t="shared" si="116"/>
        <v>2946.0206842444654</v>
      </c>
      <c r="DH34" s="27">
        <f t="shared" si="116"/>
        <v>3686.3834285133034</v>
      </c>
      <c r="DI34" s="27">
        <f t="shared" si="116"/>
        <v>3181.463979397382</v>
      </c>
      <c r="DJ34" s="27">
        <f t="shared" si="116"/>
        <v>3282.7457485761211</v>
      </c>
      <c r="DK34" s="26">
        <f t="shared" si="116"/>
        <v>23896.232220900292</v>
      </c>
      <c r="DL34" s="27">
        <f t="shared" si="116"/>
        <v>2440.6547560691688</v>
      </c>
      <c r="DM34" s="27">
        <f t="shared" si="116"/>
        <v>4400.3663136689111</v>
      </c>
      <c r="DN34" s="27">
        <f t="shared" si="116"/>
        <v>959.73305548465146</v>
      </c>
      <c r="DO34" s="27">
        <f t="shared" si="116"/>
        <v>1434.2976489016824</v>
      </c>
      <c r="DP34" s="27">
        <f t="shared" si="116"/>
        <v>2116.6038618745733</v>
      </c>
      <c r="DQ34" s="27">
        <f t="shared" si="116"/>
        <v>3146.4628574981107</v>
      </c>
      <c r="DR34" s="27">
        <f t="shared" si="116"/>
        <v>4777.8968632948072</v>
      </c>
      <c r="DS34" s="27">
        <f t="shared" si="116"/>
        <v>4402.2162850639916</v>
      </c>
      <c r="DT34" s="27">
        <f t="shared" si="116"/>
        <v>3921.3985635940444</v>
      </c>
      <c r="DU34" s="26">
        <f t="shared" si="116"/>
        <v>27599.630205449939</v>
      </c>
    </row>
    <row r="35" spans="1:125" x14ac:dyDescent="0.25">
      <c r="A35" t="s">
        <v>61</v>
      </c>
      <c r="B35" s="14">
        <f t="shared" si="119"/>
        <v>1855</v>
      </c>
      <c r="C35" s="14">
        <f t="shared" si="119"/>
        <v>3468</v>
      </c>
      <c r="D35" s="14">
        <f t="shared" si="119"/>
        <v>954</v>
      </c>
      <c r="E35" s="14">
        <f t="shared" si="119"/>
        <v>1350</v>
      </c>
      <c r="F35" s="14">
        <f t="shared" si="119"/>
        <v>1749</v>
      </c>
      <c r="G35" s="14">
        <f t="shared" si="119"/>
        <v>2071</v>
      </c>
      <c r="H35" s="14">
        <f t="shared" si="119"/>
        <v>2995</v>
      </c>
      <c r="I35" s="14">
        <f t="shared" si="119"/>
        <v>3304</v>
      </c>
      <c r="J35" s="14">
        <f t="shared" si="119"/>
        <v>1949</v>
      </c>
      <c r="K35" s="26">
        <f t="shared" si="1"/>
        <v>19695</v>
      </c>
    </row>
    <row r="36" spans="1:125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26"/>
    </row>
    <row r="37" spans="1:125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26"/>
      <c r="AL37">
        <v>2017</v>
      </c>
      <c r="AM37">
        <v>2020</v>
      </c>
      <c r="AN37">
        <v>2025</v>
      </c>
      <c r="AO37">
        <v>2030</v>
      </c>
    </row>
    <row r="38" spans="1:125" x14ac:dyDescent="0.25">
      <c r="AK38" t="s">
        <v>61</v>
      </c>
      <c r="AL38" s="15">
        <v>518337</v>
      </c>
      <c r="AM38" s="15">
        <f>SUM(AM16:AU16)+SUM(AM23:AU23)</f>
        <v>514168</v>
      </c>
      <c r="AN38" s="15">
        <f>SUM(AV16:BD16)+SUM(AV23:BD23)</f>
        <v>512301</v>
      </c>
      <c r="AO38" s="15">
        <f>SUM(BE16:BM16)+SUM(BE23:BM23)</f>
        <v>509292</v>
      </c>
    </row>
    <row r="39" spans="1:125" x14ac:dyDescent="0.25">
      <c r="K39" s="146" t="s">
        <v>69</v>
      </c>
      <c r="L39" s="146"/>
      <c r="M39" s="146"/>
      <c r="N39" s="146"/>
      <c r="O39" s="146"/>
      <c r="P39" s="146"/>
      <c r="Q39" s="146"/>
      <c r="R39" s="146"/>
      <c r="S39" s="146"/>
      <c r="T39" s="146"/>
      <c r="AK39" t="s">
        <v>66</v>
      </c>
      <c r="AL39" s="15">
        <v>256604</v>
      </c>
      <c r="AM39" s="15">
        <f>SUM(AM16:AU16)</f>
        <v>254291</v>
      </c>
      <c r="AN39" s="15">
        <f>SUM(AV16:BD16)</f>
        <v>253381</v>
      </c>
      <c r="AO39" s="15">
        <f>SUM(BE16:BM16)</f>
        <v>251860</v>
      </c>
    </row>
    <row r="40" spans="1:125" x14ac:dyDescent="0.25">
      <c r="H40" t="s">
        <v>65</v>
      </c>
      <c r="I40" s="13"/>
      <c r="K40" s="28" t="s">
        <v>61</v>
      </c>
      <c r="L40" t="s">
        <v>8</v>
      </c>
      <c r="M40" t="s">
        <v>9</v>
      </c>
      <c r="N40" t="s">
        <v>10</v>
      </c>
      <c r="O40" t="s">
        <v>11</v>
      </c>
      <c r="P40" t="s">
        <v>12</v>
      </c>
      <c r="Q40" t="s">
        <v>13</v>
      </c>
      <c r="R40" t="s">
        <v>14</v>
      </c>
      <c r="S40" t="s">
        <v>15</v>
      </c>
      <c r="T40" t="s">
        <v>16</v>
      </c>
      <c r="AK40" t="s">
        <v>67</v>
      </c>
      <c r="AL40" s="15">
        <v>261733</v>
      </c>
      <c r="AM40" s="15">
        <f>SUM(AM23:AU23)</f>
        <v>259877</v>
      </c>
      <c r="AN40" s="15">
        <f>SUM(AV23:BD23)</f>
        <v>258920</v>
      </c>
      <c r="AO40" s="15">
        <f>SUM(BE23:BM23)</f>
        <v>257432</v>
      </c>
    </row>
    <row r="41" spans="1:125" x14ac:dyDescent="0.25">
      <c r="H41" s="30">
        <v>43100</v>
      </c>
      <c r="I41" s="14">
        <v>518337</v>
      </c>
      <c r="J41" t="s">
        <v>68</v>
      </c>
      <c r="K41">
        <f>(J46/I41)*100</f>
        <v>49.505244657433288</v>
      </c>
      <c r="L41">
        <f>(L17/I41)*100</f>
        <v>9.452151785421453</v>
      </c>
      <c r="M41">
        <f>(M17/I41)*100</f>
        <v>28.469509218905849</v>
      </c>
      <c r="N41">
        <f>(N17/I41)*100</f>
        <v>3.3003625054742378</v>
      </c>
      <c r="O41">
        <f>(O17/I41)*100</f>
        <v>3.0603642032114244</v>
      </c>
      <c r="P41">
        <f>(P17/I41)*100</f>
        <v>2.3650636554982571</v>
      </c>
      <c r="Q41">
        <f>(Q17/I41)*100</f>
        <v>1.4031411996442469</v>
      </c>
      <c r="R41">
        <f>(R17/I41)*100</f>
        <v>0.83324169411020255</v>
      </c>
      <c r="S41">
        <f>(S17/I41)*100</f>
        <v>0.4728583913554309</v>
      </c>
      <c r="T41">
        <f>(T17/I41)*100</f>
        <v>0.14855200381219169</v>
      </c>
    </row>
    <row r="42" spans="1:125" x14ac:dyDescent="0.25">
      <c r="I42" s="13"/>
      <c r="J42" t="s">
        <v>29</v>
      </c>
      <c r="K42">
        <f>(K46/I41)*100</f>
        <v>50.494755342566712</v>
      </c>
      <c r="L42">
        <f>(L24/I41)*100</f>
        <v>8.9422518554531116</v>
      </c>
      <c r="M42">
        <f>(M24/I41)*100</f>
        <v>26.809199420454259</v>
      </c>
      <c r="N42">
        <f>(N24/I41)*100</f>
        <v>3.4778532113277651</v>
      </c>
      <c r="O42">
        <f>(O24/I41)*100</f>
        <v>3.4491074339667049</v>
      </c>
      <c r="P42">
        <f>(P24/I41)*100</f>
        <v>2.9779853647337542</v>
      </c>
      <c r="Q42">
        <f>(Q24/I41)*100</f>
        <v>1.9915614744847463</v>
      </c>
      <c r="R42">
        <f>(R24/I41)*100</f>
        <v>1.4768384275095161</v>
      </c>
      <c r="S42">
        <f>(S24/I41)*100</f>
        <v>0.9704111417861353</v>
      </c>
      <c r="T42">
        <f>(T24/I41)*100</f>
        <v>0.39954701285071292</v>
      </c>
      <c r="AL42" s="49"/>
      <c r="AM42">
        <f>AM38/AL38</f>
        <v>0.99195697007931138</v>
      </c>
      <c r="AN42">
        <f>AN38/AL38</f>
        <v>0.9883550662985664</v>
      </c>
      <c r="AO42">
        <f>AO38/AL38</f>
        <v>0.98254996266907435</v>
      </c>
    </row>
    <row r="43" spans="1:125" x14ac:dyDescent="0.25">
      <c r="I43" s="14"/>
      <c r="K43"/>
      <c r="AM43">
        <f>(AM39/AM38)*100</f>
        <v>49.456792332467209</v>
      </c>
      <c r="AN43">
        <f>(AN39/AN38)*100</f>
        <v>49.459399845012989</v>
      </c>
      <c r="AO43">
        <f t="shared" ref="AO43" si="120">(AO39/AO38)*100</f>
        <v>49.452966078399029</v>
      </c>
    </row>
    <row r="44" spans="1:125" x14ac:dyDescent="0.25">
      <c r="I44" s="13"/>
      <c r="J44" t="s">
        <v>66</v>
      </c>
      <c r="K44" t="s">
        <v>67</v>
      </c>
      <c r="AM44">
        <f>(AM40/AM38)*100</f>
        <v>50.543207667532783</v>
      </c>
      <c r="AN44">
        <f t="shared" ref="AN44:AO44" si="121">(AN40/AN38)*100</f>
        <v>50.540600154987011</v>
      </c>
      <c r="AO44">
        <f t="shared" si="121"/>
        <v>50.547033921600971</v>
      </c>
    </row>
    <row r="45" spans="1:125" x14ac:dyDescent="0.25">
      <c r="J45" s="15"/>
      <c r="K45" s="15"/>
    </row>
    <row r="46" spans="1:125" x14ac:dyDescent="0.25">
      <c r="J46" s="15">
        <v>256604</v>
      </c>
      <c r="K46" s="14">
        <v>261733</v>
      </c>
      <c r="AN46" t="s">
        <v>72</v>
      </c>
    </row>
    <row r="47" spans="1:125" ht="15.75" thickBot="1" x14ac:dyDescent="0.3"/>
    <row r="48" spans="1:125" ht="15.75" thickBot="1" x14ac:dyDescent="0.3">
      <c r="K48" s="148" t="s">
        <v>69</v>
      </c>
      <c r="L48" s="149"/>
      <c r="M48" s="149"/>
      <c r="N48" s="149"/>
      <c r="O48" s="149"/>
      <c r="P48" s="149"/>
      <c r="Q48" s="149"/>
      <c r="R48" s="149"/>
      <c r="S48" s="149"/>
      <c r="T48" s="150"/>
      <c r="U48" s="148" t="s">
        <v>58</v>
      </c>
      <c r="V48" s="149"/>
      <c r="W48" s="149"/>
      <c r="X48" s="149"/>
      <c r="Y48" s="149"/>
      <c r="Z48" s="149"/>
      <c r="AA48" s="149"/>
      <c r="AB48" s="149"/>
      <c r="AC48" s="150"/>
    </row>
    <row r="49" spans="8:52" ht="15.75" thickBot="1" x14ac:dyDescent="0.3">
      <c r="H49" s="85" t="s">
        <v>65</v>
      </c>
      <c r="I49" s="85"/>
      <c r="K49" s="148" t="s">
        <v>68</v>
      </c>
      <c r="L49" s="149"/>
      <c r="M49" s="149"/>
      <c r="N49" s="149"/>
      <c r="O49" s="149"/>
      <c r="P49" s="149"/>
      <c r="Q49" s="149"/>
      <c r="R49" s="149"/>
      <c r="S49" s="149"/>
      <c r="T49" s="150"/>
      <c r="U49" s="148" t="s">
        <v>68</v>
      </c>
      <c r="V49" s="149"/>
      <c r="W49" s="149"/>
      <c r="X49" s="149"/>
      <c r="Y49" s="149"/>
      <c r="Z49" s="149"/>
      <c r="AA49" s="149"/>
      <c r="AB49" s="149"/>
      <c r="AC49" s="150"/>
    </row>
    <row r="50" spans="8:52" ht="15.75" thickBot="1" x14ac:dyDescent="0.3">
      <c r="H50" s="90">
        <v>43100</v>
      </c>
      <c r="I50" s="91">
        <f>Kalkulačka!C6</f>
        <v>100000</v>
      </c>
      <c r="K50" s="46" t="s">
        <v>61</v>
      </c>
      <c r="L50" s="47" t="s">
        <v>8</v>
      </c>
      <c r="M50" s="47" t="s">
        <v>9</v>
      </c>
      <c r="N50" s="47" t="s">
        <v>10</v>
      </c>
      <c r="O50" s="47" t="s">
        <v>11</v>
      </c>
      <c r="P50" s="47" t="s">
        <v>12</v>
      </c>
      <c r="Q50" s="47" t="s">
        <v>13</v>
      </c>
      <c r="R50" s="47" t="s">
        <v>14</v>
      </c>
      <c r="S50" s="47" t="s">
        <v>15</v>
      </c>
      <c r="T50" s="48" t="s">
        <v>16</v>
      </c>
      <c r="U50" s="47" t="s">
        <v>8</v>
      </c>
      <c r="V50" s="47" t="s">
        <v>9</v>
      </c>
      <c r="W50" s="47" t="s">
        <v>10</v>
      </c>
      <c r="X50" s="47" t="s">
        <v>11</v>
      </c>
      <c r="Y50" s="47" t="s">
        <v>12</v>
      </c>
      <c r="Z50" s="47" t="s">
        <v>13</v>
      </c>
      <c r="AA50" s="47" t="s">
        <v>14</v>
      </c>
      <c r="AB50" s="47" t="s">
        <v>15</v>
      </c>
      <c r="AC50" s="48" t="s">
        <v>16</v>
      </c>
    </row>
    <row r="51" spans="8:52" x14ac:dyDescent="0.25">
      <c r="K51" s="31">
        <v>49.505244657433288</v>
      </c>
      <c r="L51" s="40">
        <v>9.452151785421453</v>
      </c>
      <c r="M51" s="40">
        <v>28.469509218905849</v>
      </c>
      <c r="N51" s="40">
        <v>3.3003625054742378</v>
      </c>
      <c r="O51" s="40">
        <v>3.0603642032114244</v>
      </c>
      <c r="P51" s="40">
        <v>2.3650636554982571</v>
      </c>
      <c r="Q51" s="40">
        <v>1.4031411996442469</v>
      </c>
      <c r="R51" s="40">
        <v>0.83324169411020255</v>
      </c>
      <c r="S51" s="40">
        <v>0.4728583913554309</v>
      </c>
      <c r="T51" s="41">
        <v>0.14855200381219169</v>
      </c>
      <c r="U51" s="31">
        <v>0.88990488631260967</v>
      </c>
      <c r="V51" s="40">
        <v>0.31781958148107992</v>
      </c>
      <c r="W51" s="40">
        <v>0.81837844157362483</v>
      </c>
      <c r="X51" s="40">
        <v>1.1914518060896426</v>
      </c>
      <c r="Y51" s="40">
        <v>1.5009380863039399</v>
      </c>
      <c r="Z51" s="40">
        <v>2.5161556441633439</v>
      </c>
      <c r="AA51" s="40">
        <v>4.5843945357721694</v>
      </c>
      <c r="AB51" s="40">
        <v>6.691146470828234</v>
      </c>
      <c r="AC51" s="41">
        <v>10.38961038961039</v>
      </c>
    </row>
    <row r="52" spans="8:52" x14ac:dyDescent="0.25">
      <c r="K52" s="34"/>
      <c r="L52" s="35"/>
      <c r="M52" s="35"/>
      <c r="N52" s="35"/>
      <c r="O52" s="35"/>
      <c r="P52" s="35"/>
      <c r="Q52" s="35"/>
      <c r="R52" s="35"/>
      <c r="S52" s="35"/>
      <c r="T52" s="36"/>
      <c r="U52" s="34">
        <v>0.75519451361391188</v>
      </c>
      <c r="V52" s="42">
        <v>0.4099804835736745</v>
      </c>
      <c r="W52" s="42">
        <v>1.0463552931548488</v>
      </c>
      <c r="X52" s="42">
        <v>1.6138183193595157</v>
      </c>
      <c r="Y52" s="42">
        <v>2.1698344073741738</v>
      </c>
      <c r="Z52" s="42">
        <v>2.859892754021724</v>
      </c>
      <c r="AA52" s="42">
        <v>6.1819865709655009</v>
      </c>
      <c r="AB52" s="42">
        <v>10.893512851897185</v>
      </c>
      <c r="AC52" s="43">
        <v>18.571428571428573</v>
      </c>
    </row>
    <row r="53" spans="8:52" x14ac:dyDescent="0.25">
      <c r="K53" s="34"/>
      <c r="L53" s="35"/>
      <c r="M53" s="35"/>
      <c r="N53" s="35"/>
      <c r="O53" s="35"/>
      <c r="P53" s="35"/>
      <c r="Q53" s="35"/>
      <c r="R53" s="35"/>
      <c r="S53" s="35"/>
      <c r="T53" s="36"/>
      <c r="U53" s="34">
        <v>0.43882924439727311</v>
      </c>
      <c r="V53" s="42">
        <v>0.35712349560880408</v>
      </c>
      <c r="W53" s="42">
        <v>0.76576839890103465</v>
      </c>
      <c r="X53" s="42">
        <v>1.046460316459686</v>
      </c>
      <c r="Y53" s="42">
        <v>1.9577453299616607</v>
      </c>
      <c r="Z53" s="42">
        <v>2.6948989412897015</v>
      </c>
      <c r="AA53" s="42">
        <v>5.0937717064135217</v>
      </c>
      <c r="AB53" s="42">
        <v>8.8535291717666258</v>
      </c>
      <c r="AC53" s="43">
        <v>16.233766233766232</v>
      </c>
    </row>
    <row r="54" spans="8:52" ht="15.75" thickBot="1" x14ac:dyDescent="0.3">
      <c r="K54" s="37"/>
      <c r="L54" s="38"/>
      <c r="M54" s="38"/>
      <c r="N54" s="38"/>
      <c r="O54" s="38"/>
      <c r="P54" s="38"/>
      <c r="Q54" s="38"/>
      <c r="R54" s="38"/>
      <c r="S54" s="38"/>
      <c r="T54" s="39"/>
      <c r="U54" s="37">
        <v>0.31432420296362817</v>
      </c>
      <c r="V54" s="44">
        <v>0.26835086197549601</v>
      </c>
      <c r="W54" s="44">
        <v>0.37411585900508565</v>
      </c>
      <c r="X54" s="44">
        <v>0.46019038012986196</v>
      </c>
      <c r="Y54" s="44">
        <v>0.61995268782119262</v>
      </c>
      <c r="Z54" s="44">
        <v>1.1137082359411523</v>
      </c>
      <c r="AA54" s="44">
        <v>2.1301227135911089</v>
      </c>
      <c r="AB54" s="44">
        <v>3.6719706242350063</v>
      </c>
      <c r="AC54" s="45">
        <v>6.7532467532467528</v>
      </c>
    </row>
    <row r="55" spans="8:52" ht="15.75" thickBot="1" x14ac:dyDescent="0.3">
      <c r="K55" s="148" t="s">
        <v>29</v>
      </c>
      <c r="L55" s="149"/>
      <c r="M55" s="149"/>
      <c r="N55" s="149"/>
      <c r="O55" s="149"/>
      <c r="P55" s="149"/>
      <c r="Q55" s="149"/>
      <c r="R55" s="149"/>
      <c r="S55" s="149"/>
      <c r="T55" s="150"/>
      <c r="U55" s="148" t="s">
        <v>29</v>
      </c>
      <c r="V55" s="149"/>
      <c r="W55" s="149"/>
      <c r="X55" s="149"/>
      <c r="Y55" s="149"/>
      <c r="Z55" s="149"/>
      <c r="AA55" s="149"/>
      <c r="AB55" s="149"/>
      <c r="AC55" s="150"/>
    </row>
    <row r="56" spans="8:52" ht="15.75" thickBot="1" x14ac:dyDescent="0.3">
      <c r="K56" s="31" t="s">
        <v>61</v>
      </c>
      <c r="L56" s="40" t="s">
        <v>8</v>
      </c>
      <c r="M56" s="40" t="s">
        <v>9</v>
      </c>
      <c r="N56" s="40" t="s">
        <v>10</v>
      </c>
      <c r="O56" s="40" t="s">
        <v>11</v>
      </c>
      <c r="P56" s="40" t="s">
        <v>12</v>
      </c>
      <c r="Q56" s="40" t="s">
        <v>13</v>
      </c>
      <c r="R56" s="40" t="s">
        <v>14</v>
      </c>
      <c r="S56" s="40" t="s">
        <v>15</v>
      </c>
      <c r="T56" s="41" t="s">
        <v>16</v>
      </c>
      <c r="U56" s="46" t="s">
        <v>8</v>
      </c>
      <c r="V56" s="47" t="s">
        <v>9</v>
      </c>
      <c r="W56" s="47" t="s">
        <v>10</v>
      </c>
      <c r="X56" s="47" t="s">
        <v>11</v>
      </c>
      <c r="Y56" s="47" t="s">
        <v>12</v>
      </c>
      <c r="Z56" s="47" t="s">
        <v>13</v>
      </c>
      <c r="AA56" s="47" t="s">
        <v>14</v>
      </c>
      <c r="AB56" s="47" t="s">
        <v>15</v>
      </c>
      <c r="AC56" s="48" t="s">
        <v>16</v>
      </c>
    </row>
    <row r="57" spans="8:52" x14ac:dyDescent="0.25">
      <c r="K57" s="31">
        <v>50.494755342566712</v>
      </c>
      <c r="L57" s="40">
        <v>8.9422518554531116</v>
      </c>
      <c r="M57" s="40">
        <v>26.809199420454259</v>
      </c>
      <c r="N57" s="40">
        <v>3.4778532113277651</v>
      </c>
      <c r="O57" s="40">
        <v>3.4491074339667049</v>
      </c>
      <c r="P57" s="40">
        <v>2.9779853647337542</v>
      </c>
      <c r="Q57" s="40">
        <v>1.9915614744847463</v>
      </c>
      <c r="R57" s="40">
        <v>1.4768384275095161</v>
      </c>
      <c r="S57" s="40">
        <v>0.9704111417861353</v>
      </c>
      <c r="T57" s="41">
        <v>0.39954701285071292</v>
      </c>
      <c r="U57" s="42">
        <v>0.65155012836832005</v>
      </c>
      <c r="V57" s="42">
        <v>0.29360544609317651</v>
      </c>
      <c r="W57" s="42">
        <v>0.77106562378654242</v>
      </c>
      <c r="X57" s="42">
        <v>1.1970019017787226</v>
      </c>
      <c r="Y57" s="42">
        <v>2.0277273905156776</v>
      </c>
      <c r="Z57" s="42">
        <v>4.6788724208079042</v>
      </c>
      <c r="AA57" s="42">
        <v>9.3403004572175057</v>
      </c>
      <c r="AB57" s="42">
        <v>12.42544731610338</v>
      </c>
      <c r="AC57" s="43">
        <v>11.926605504587156</v>
      </c>
    </row>
    <row r="58" spans="8:52" x14ac:dyDescent="0.25">
      <c r="K58" s="34"/>
      <c r="L58" s="35"/>
      <c r="M58" s="35"/>
      <c r="N58" s="35"/>
      <c r="O58" s="35"/>
      <c r="P58" s="35"/>
      <c r="Q58" s="35"/>
      <c r="R58" s="35"/>
      <c r="S58" s="35"/>
      <c r="T58" s="36"/>
      <c r="U58" s="42">
        <v>0.41854544670017907</v>
      </c>
      <c r="V58" s="42">
        <v>0.32742764208920427</v>
      </c>
      <c r="W58" s="42">
        <v>0.88755755256004887</v>
      </c>
      <c r="X58" s="42">
        <v>1.3927732408546818</v>
      </c>
      <c r="Y58" s="42">
        <v>2.2868618813164034</v>
      </c>
      <c r="Z58" s="42">
        <v>4.9016758694178053</v>
      </c>
      <c r="AA58" s="42">
        <v>9.9412148922273023</v>
      </c>
      <c r="AB58" s="42">
        <v>17.833001988071569</v>
      </c>
      <c r="AC58" s="43">
        <v>22.259777885079671</v>
      </c>
    </row>
    <row r="59" spans="8:52" x14ac:dyDescent="0.25">
      <c r="K59" s="34"/>
      <c r="L59" s="35"/>
      <c r="M59" s="35"/>
      <c r="N59" s="35"/>
      <c r="O59" s="35"/>
      <c r="P59" s="35"/>
      <c r="Q59" s="35"/>
      <c r="R59" s="35"/>
      <c r="S59" s="35"/>
      <c r="T59" s="36"/>
      <c r="U59" s="42">
        <v>0.20280037108153007</v>
      </c>
      <c r="V59" s="42">
        <v>0.25186741699169557</v>
      </c>
      <c r="W59" s="42">
        <v>0.53253453153602925</v>
      </c>
      <c r="X59" s="42">
        <v>0.83902002461125402</v>
      </c>
      <c r="Y59" s="42">
        <v>1.5224151334542628</v>
      </c>
      <c r="Z59" s="42">
        <v>2.8770706190061031</v>
      </c>
      <c r="AA59" s="42">
        <v>6.5447419986936639</v>
      </c>
      <c r="AB59" s="42">
        <v>13.757455268389663</v>
      </c>
      <c r="AC59" s="43">
        <v>23.177209077740223</v>
      </c>
    </row>
    <row r="60" spans="8:52" ht="15.75" thickBot="1" x14ac:dyDescent="0.3">
      <c r="K60" s="37"/>
      <c r="L60" s="38"/>
      <c r="M60" s="38"/>
      <c r="N60" s="38"/>
      <c r="O60" s="38"/>
      <c r="P60" s="38"/>
      <c r="Q60" s="38"/>
      <c r="R60" s="38"/>
      <c r="S60" s="38"/>
      <c r="T60" s="39"/>
      <c r="U60" s="44">
        <v>0.19417056805678409</v>
      </c>
      <c r="V60" s="44">
        <v>0.1856622673824499</v>
      </c>
      <c r="W60" s="44">
        <v>0.24962556165751376</v>
      </c>
      <c r="X60" s="44">
        <v>0.2964537420293098</v>
      </c>
      <c r="Y60" s="44">
        <v>0.53122570614148734</v>
      </c>
      <c r="Z60" s="44">
        <v>1.1333914559721012</v>
      </c>
      <c r="AA60" s="44">
        <v>3.148269105160026</v>
      </c>
      <c r="AB60" s="44">
        <v>6.9980119284294231</v>
      </c>
      <c r="AC60" s="45">
        <v>17.431192660550458</v>
      </c>
    </row>
    <row r="62" spans="8:52" ht="15.75" thickBot="1" x14ac:dyDescent="0.3"/>
    <row r="63" spans="8:52" ht="15.75" thickBot="1" x14ac:dyDescent="0.3">
      <c r="H63" t="s">
        <v>65</v>
      </c>
      <c r="K63" s="148" t="s">
        <v>70</v>
      </c>
      <c r="L63" s="149"/>
      <c r="M63" s="149"/>
      <c r="N63" s="149"/>
      <c r="O63" s="149"/>
      <c r="P63" s="149"/>
      <c r="Q63" s="149"/>
      <c r="R63" s="149"/>
      <c r="S63" s="149"/>
      <c r="T63" s="150"/>
      <c r="U63" s="154" t="s">
        <v>59</v>
      </c>
      <c r="V63" s="146"/>
      <c r="W63" s="146"/>
      <c r="X63" s="146"/>
      <c r="Y63" s="146"/>
      <c r="Z63" s="146"/>
      <c r="AA63" s="146"/>
      <c r="AB63" s="146"/>
      <c r="AC63" s="146"/>
      <c r="AD63" s="146" t="s">
        <v>76</v>
      </c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P63" s="146" t="s">
        <v>79</v>
      </c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</row>
    <row r="64" spans="8:52" ht="15.75" thickBot="1" x14ac:dyDescent="0.3">
      <c r="H64" s="30">
        <v>44196</v>
      </c>
      <c r="I64" s="15">
        <f>I50*0.991957</f>
        <v>99195.7</v>
      </c>
      <c r="K64" s="148" t="s">
        <v>68</v>
      </c>
      <c r="L64" s="149"/>
      <c r="M64" s="149"/>
      <c r="N64" s="149"/>
      <c r="O64" s="149"/>
      <c r="P64" s="149"/>
      <c r="Q64" s="149"/>
      <c r="R64" s="149"/>
      <c r="S64" s="149"/>
      <c r="T64" s="150"/>
      <c r="U64" s="154" t="s">
        <v>68</v>
      </c>
      <c r="V64" s="155"/>
      <c r="W64" s="155"/>
      <c r="X64" s="155"/>
      <c r="Y64" s="155"/>
      <c r="Z64" s="155"/>
      <c r="AA64" s="155"/>
      <c r="AB64" s="155"/>
      <c r="AC64" s="155"/>
      <c r="AD64" s="146" t="s">
        <v>68</v>
      </c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P64" s="146" t="s">
        <v>68</v>
      </c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</row>
    <row r="65" spans="8:52" ht="15.75" thickBot="1" x14ac:dyDescent="0.3">
      <c r="K65" s="37" t="s">
        <v>61</v>
      </c>
      <c r="L65" s="44" t="s">
        <v>8</v>
      </c>
      <c r="M65" s="44" t="s">
        <v>9</v>
      </c>
      <c r="N65" s="44" t="s">
        <v>10</v>
      </c>
      <c r="O65" s="44" t="s">
        <v>11</v>
      </c>
      <c r="P65" s="44" t="s">
        <v>12</v>
      </c>
      <c r="Q65" s="44" t="s">
        <v>13</v>
      </c>
      <c r="R65" s="44" t="s">
        <v>14</v>
      </c>
      <c r="S65" s="44" t="s">
        <v>15</v>
      </c>
      <c r="T65" s="45" t="s">
        <v>16</v>
      </c>
      <c r="U65" s="52" t="s">
        <v>8</v>
      </c>
      <c r="V65" s="52" t="s">
        <v>9</v>
      </c>
      <c r="W65" s="52" t="s">
        <v>10</v>
      </c>
      <c r="X65" s="52" t="s">
        <v>11</v>
      </c>
      <c r="Y65" s="52" t="s">
        <v>12</v>
      </c>
      <c r="Z65" s="52" t="s">
        <v>13</v>
      </c>
      <c r="AA65" s="52" t="s">
        <v>14</v>
      </c>
      <c r="AB65" s="52" t="s">
        <v>15</v>
      </c>
      <c r="AC65" s="52" t="s">
        <v>16</v>
      </c>
      <c r="AE65" t="s">
        <v>8</v>
      </c>
      <c r="AF65" t="s">
        <v>9</v>
      </c>
      <c r="AG65" t="s">
        <v>10</v>
      </c>
      <c r="AH65" t="s">
        <v>11</v>
      </c>
      <c r="AI65" t="s">
        <v>12</v>
      </c>
      <c r="AJ65" t="s">
        <v>13</v>
      </c>
      <c r="AK65" t="s">
        <v>14</v>
      </c>
      <c r="AL65" t="s">
        <v>15</v>
      </c>
      <c r="AM65" t="s">
        <v>16</v>
      </c>
      <c r="AN65" t="s">
        <v>61</v>
      </c>
      <c r="AQ65" t="s">
        <v>8</v>
      </c>
      <c r="AR65" t="s">
        <v>9</v>
      </c>
      <c r="AS65" t="s">
        <v>10</v>
      </c>
      <c r="AT65" t="s">
        <v>11</v>
      </c>
      <c r="AU65" t="s">
        <v>12</v>
      </c>
      <c r="AV65" t="s">
        <v>13</v>
      </c>
      <c r="AW65" t="s">
        <v>14</v>
      </c>
      <c r="AX65" t="s">
        <v>15</v>
      </c>
      <c r="AY65" t="s">
        <v>16</v>
      </c>
      <c r="AZ65" t="s">
        <v>61</v>
      </c>
    </row>
    <row r="66" spans="8:52" x14ac:dyDescent="0.25">
      <c r="H66" s="85" t="s">
        <v>190</v>
      </c>
      <c r="I66" s="85"/>
      <c r="J66" s="85"/>
      <c r="K66" s="51">
        <f>49.45679</f>
        <v>49.456789999999998</v>
      </c>
      <c r="L66" s="32">
        <v>9.3809416377526418</v>
      </c>
      <c r="M66" s="32">
        <v>28.105638623951705</v>
      </c>
      <c r="N66" s="32">
        <v>3.0604782872524154</v>
      </c>
      <c r="O66" s="32">
        <v>3.1089060384932554</v>
      </c>
      <c r="P66" s="32">
        <v>2.5876756235316085</v>
      </c>
      <c r="Q66" s="32">
        <v>1.6093961506744876</v>
      </c>
      <c r="R66" s="32">
        <v>0.87520032362963085</v>
      </c>
      <c r="S66" s="32">
        <v>0.51636819094148223</v>
      </c>
      <c r="T66" s="33">
        <v>0.21218745623998383</v>
      </c>
      <c r="U66" s="52">
        <v>0.20841899926579777</v>
      </c>
      <c r="V66" s="52">
        <v>2.569162036583772E-2</v>
      </c>
      <c r="W66" s="52">
        <v>-0.17932798044472387</v>
      </c>
      <c r="X66" s="52">
        <v>-0.14329717009722232</v>
      </c>
      <c r="Y66" s="52">
        <v>5.4049484962921168E-2</v>
      </c>
      <c r="Z66" s="52">
        <v>-0.52711587271730265</v>
      </c>
      <c r="AA66" s="52">
        <v>-1.7128346833714074</v>
      </c>
      <c r="AB66" s="52">
        <v>-5.0522575643502448</v>
      </c>
      <c r="AC66" s="52">
        <v>-4.7183032794543589</v>
      </c>
      <c r="AD66" t="s">
        <v>22</v>
      </c>
      <c r="AE66" s="15">
        <f>I64*(L66/100)*(U51/100)</f>
        <v>82.810016649668242</v>
      </c>
      <c r="AF66" s="15">
        <f>I64*(M66/100)*(V51/100)</f>
        <v>88.606780278259208</v>
      </c>
      <c r="AG66" s="15">
        <f>I64*(N66/100)*(W51/100)</f>
        <v>24.844847165156146</v>
      </c>
      <c r="AH66" s="15">
        <f>I64*(O66/100)*(X51/100)</f>
        <v>36.743195440058535</v>
      </c>
      <c r="AI66" s="15">
        <f>I64*(P66/100)*(Y51/100)</f>
        <v>38.527023617133871</v>
      </c>
      <c r="AJ66" s="15">
        <f>I64*(Q66/100)*(Z51/100)</f>
        <v>40.169211504267032</v>
      </c>
      <c r="AK66" s="15">
        <f>I64*(R66/100)*(AA51/100)</f>
        <v>39.799929453688861</v>
      </c>
      <c r="AL66" s="15">
        <f>I64*(S66/100)*(AB51/100)</f>
        <v>34.273058677847956</v>
      </c>
      <c r="AM66" s="15">
        <f>I64*(T66/100)*(AC51/100)</f>
        <v>21.868138444617724</v>
      </c>
      <c r="AN66" s="15">
        <f>SUM(AE66:AM66)</f>
        <v>407.64220123069759</v>
      </c>
      <c r="AO66" s="15"/>
      <c r="AP66" t="s">
        <v>22</v>
      </c>
      <c r="AQ66" s="15">
        <f>$I$64*(L66/100)*((U51/100)+(U66/200))</f>
        <v>92.507221971701398</v>
      </c>
      <c r="AR66" s="15">
        <f t="shared" ref="AR66:AY66" si="122">$I$64*(M66/100)*((V51/100)+(V66/200))</f>
        <v>92.188138843612023</v>
      </c>
      <c r="AS66" s="15">
        <f t="shared" si="122"/>
        <v>22.122771386853497</v>
      </c>
      <c r="AT66" s="15">
        <f t="shared" si="122"/>
        <v>34.533623932432903</v>
      </c>
      <c r="AU66" s="15">
        <f t="shared" si="122"/>
        <v>39.220711718815735</v>
      </c>
      <c r="AV66" s="15">
        <f t="shared" si="122"/>
        <v>35.961636144699355</v>
      </c>
      <c r="AW66" s="15">
        <f t="shared" si="122"/>
        <v>32.364847347199607</v>
      </c>
      <c r="AX66" s="15">
        <f t="shared" si="122"/>
        <v>21.333847085821354</v>
      </c>
      <c r="AY66" s="15">
        <f t="shared" si="122"/>
        <v>16.902576432687891</v>
      </c>
      <c r="AZ66" s="15">
        <f>SUM(AQ66:AY66)</f>
        <v>387.13537486382376</v>
      </c>
    </row>
    <row r="67" spans="8:52" x14ac:dyDescent="0.25">
      <c r="H67" s="85"/>
      <c r="I67" s="85" t="s">
        <v>74</v>
      </c>
      <c r="J67" s="85" t="s">
        <v>81</v>
      </c>
      <c r="K67" s="34"/>
      <c r="L67" s="35"/>
      <c r="M67" s="35"/>
      <c r="N67" s="35"/>
      <c r="O67" s="35"/>
      <c r="P67" s="35"/>
      <c r="Q67" s="35"/>
      <c r="R67" s="35"/>
      <c r="S67" s="35"/>
      <c r="T67" s="36"/>
      <c r="U67" s="52">
        <v>0.34010765513994462</v>
      </c>
      <c r="V67" s="52">
        <v>5.9556477003062436E-2</v>
      </c>
      <c r="W67" s="52">
        <v>1.4245201411729358E-2</v>
      </c>
      <c r="X67" s="52">
        <v>0.3852425571875151</v>
      </c>
      <c r="Y67" s="52">
        <v>0.37004614716949202</v>
      </c>
      <c r="Z67" s="52">
        <v>0.27628203916992522</v>
      </c>
      <c r="AA67" s="52">
        <v>0.8923140268848968</v>
      </c>
      <c r="AB67" s="52">
        <v>-0.48775978131543773</v>
      </c>
      <c r="AC67" s="52">
        <v>3.2237067488866078</v>
      </c>
      <c r="AD67" t="s">
        <v>23</v>
      </c>
      <c r="AE67" s="15">
        <f>I64*(L66/100)*(U52/100)</f>
        <v>70.274555413709294</v>
      </c>
      <c r="AF67" s="15">
        <f>I64*(M66/100)*(V52/100)</f>
        <v>114.30085728858596</v>
      </c>
      <c r="AG67" s="15">
        <f>I64*(N66/100)*(W52/100)</f>
        <v>31.765911732592496</v>
      </c>
      <c r="AH67" s="15">
        <f>I64*(O66/100)*(X52/100)</f>
        <v>49.768561019338549</v>
      </c>
      <c r="AI67" s="15">
        <f>I64*(P66/100)*(Y52/100)</f>
        <v>55.696675446508735</v>
      </c>
      <c r="AJ67" s="15">
        <f>I64*(Q66/100)*(Z52/100)</f>
        <v>45.656808704303515</v>
      </c>
      <c r="AK67" s="15">
        <f>I64*(R66/100)*(AA52/100)</f>
        <v>53.66960183906528</v>
      </c>
      <c r="AL67" s="15">
        <f>I64*(S66/100)*(AB52/100)</f>
        <v>55.798211384057339</v>
      </c>
      <c r="AM67" s="15">
        <f>I64*(T66/100)*(AC52/100)</f>
        <v>39.089297469754186</v>
      </c>
      <c r="AN67" s="15">
        <f t="shared" ref="AN67:AN69" si="123">SUM(AE67:AM67)</f>
        <v>516.02048029791536</v>
      </c>
      <c r="AO67" s="15"/>
      <c r="AP67" t="s">
        <v>23</v>
      </c>
      <c r="AQ67" s="15">
        <f>$I$64*(L66/100)*((U52/100)+(U67/200))</f>
        <v>86.098898564312449</v>
      </c>
      <c r="AR67" s="15">
        <f t="shared" ref="AR67:AY67" si="124">$I$64*(M66/100)*((V52/100)+(V67/200))</f>
        <v>122.60290659493384</v>
      </c>
      <c r="AS67" s="15">
        <f t="shared" si="124"/>
        <v>31.982144122115574</v>
      </c>
      <c r="AT67" s="15">
        <f t="shared" si="124"/>
        <v>55.708810762643651</v>
      </c>
      <c r="AU67" s="15">
        <f t="shared" si="124"/>
        <v>60.445964168515829</v>
      </c>
      <c r="AV67" s="15">
        <f t="shared" si="124"/>
        <v>47.862163466833948</v>
      </c>
      <c r="AW67" s="15">
        <f t="shared" si="124"/>
        <v>57.54296341859763</v>
      </c>
      <c r="AX67" s="15">
        <f t="shared" si="124"/>
        <v>54.549021900715402</v>
      </c>
      <c r="AY67" s="15">
        <f t="shared" si="124"/>
        <v>42.481939871436417</v>
      </c>
      <c r="AZ67" s="15">
        <f t="shared" ref="AZ67:AZ69" si="125">SUM(AQ67:AY67)</f>
        <v>559.27481287010482</v>
      </c>
    </row>
    <row r="68" spans="8:52" x14ac:dyDescent="0.25">
      <c r="H68" s="85" t="s">
        <v>22</v>
      </c>
      <c r="I68" s="86">
        <f>AN78</f>
        <v>1086.367156844077</v>
      </c>
      <c r="J68" s="86">
        <f>AZ78</f>
        <v>965.91358398031798</v>
      </c>
      <c r="K68" s="34"/>
      <c r="L68" s="35"/>
      <c r="M68" s="35"/>
      <c r="N68" s="35"/>
      <c r="O68" s="35"/>
      <c r="P68" s="35"/>
      <c r="Q68" s="35"/>
      <c r="R68" s="35"/>
      <c r="S68" s="35"/>
      <c r="T68" s="36"/>
      <c r="U68" s="52">
        <v>0.10634673586837395</v>
      </c>
      <c r="V68" s="52">
        <v>7.5359275907849854E-2</v>
      </c>
      <c r="W68" s="52">
        <v>0.19810784844231899</v>
      </c>
      <c r="X68" s="52">
        <v>0.39425343036837701</v>
      </c>
      <c r="Y68" s="52">
        <v>0.82846642159793871</v>
      </c>
      <c r="Z68" s="52">
        <v>0.93550759559307761</v>
      </c>
      <c r="AA68" s="52">
        <v>1.5902223590354589</v>
      </c>
      <c r="AB68" s="52">
        <v>2.9042275680418452</v>
      </c>
      <c r="AC68" s="52">
        <v>0.1666199507926116</v>
      </c>
      <c r="AD68" t="s">
        <v>24</v>
      </c>
      <c r="AE68" s="15">
        <f>I64*(L66/100)*(U53/100)</f>
        <v>40.835214632290537</v>
      </c>
      <c r="AF68" s="15">
        <f>I64*(M66/100)*(V53/100)</f>
        <v>99.564548415016205</v>
      </c>
      <c r="AG68" s="15">
        <f>I64*(N66/100)*(W53/100)</f>
        <v>23.24767841882468</v>
      </c>
      <c r="AH68" s="15">
        <f>I64*(O66/100)*(X53/100)</f>
        <v>32.27180128597734</v>
      </c>
      <c r="AI68" s="15">
        <f>I64*(P66/100)*(Y53/100)</f>
        <v>50.252639500609391</v>
      </c>
      <c r="AJ68" s="15">
        <f>I64*(Q66/100)*(Z53/100)</f>
        <v>43.022762048285998</v>
      </c>
      <c r="AK68" s="15">
        <f>I64*(R66/100)*(AA53/100)</f>
        <v>44.222143837432064</v>
      </c>
      <c r="AL68" s="15">
        <f>I64*(S66/100)*(AB53/100)</f>
        <v>45.349108128615889</v>
      </c>
      <c r="AM68" s="15">
        <f>I64*(T66/100)*(AC53/100)</f>
        <v>34.168966319715196</v>
      </c>
      <c r="AN68" s="15">
        <f t="shared" si="123"/>
        <v>412.93486258676728</v>
      </c>
      <c r="AO68" s="15"/>
      <c r="AP68" t="s">
        <v>24</v>
      </c>
      <c r="AQ68" s="15">
        <f>$I$64*(L66/100)*((U53/100)+(U68/200))</f>
        <v>45.783257453129877</v>
      </c>
      <c r="AR68" s="15">
        <f t="shared" ref="AR68:AY68" si="126">$I$64*(M66/100)*((V53/100)+(V68/200))</f>
        <v>110.06947509571079</v>
      </c>
      <c r="AS68" s="15">
        <f t="shared" si="126"/>
        <v>26.254819716011777</v>
      </c>
      <c r="AT68" s="15">
        <f t="shared" si="126"/>
        <v>38.350994238180093</v>
      </c>
      <c r="AU68" s="15">
        <f t="shared" si="126"/>
        <v>60.885438308955017</v>
      </c>
      <c r="AV68" s="15">
        <f t="shared" si="126"/>
        <v>50.490225867226741</v>
      </c>
      <c r="AW68" s="15">
        <f t="shared" si="126"/>
        <v>51.124989699784273</v>
      </c>
      <c r="AX68" s="15">
        <f t="shared" si="126"/>
        <v>52.78705335125283</v>
      </c>
      <c r="AY68" s="15">
        <f t="shared" si="126"/>
        <v>34.344317849509423</v>
      </c>
      <c r="AZ68" s="15">
        <f t="shared" si="125"/>
        <v>470.09057157976088</v>
      </c>
    </row>
    <row r="69" spans="8:52" ht="15.75" thickBot="1" x14ac:dyDescent="0.3">
      <c r="H69" s="85" t="s">
        <v>23</v>
      </c>
      <c r="I69" s="86">
        <f t="shared" ref="I69:I72" si="127">AN79</f>
        <v>1316.2443118749406</v>
      </c>
      <c r="J69" s="86">
        <f t="shared" ref="J69:J72" si="128">AZ79</f>
        <v>1390.7680258158655</v>
      </c>
      <c r="K69" s="34"/>
      <c r="L69" s="35"/>
      <c r="M69" s="35"/>
      <c r="N69" s="35"/>
      <c r="O69" s="35"/>
      <c r="P69" s="35"/>
      <c r="Q69" s="35"/>
      <c r="R69" s="35"/>
      <c r="S69" s="35"/>
      <c r="T69" s="36"/>
      <c r="U69" s="52">
        <v>-5.1200045543298212E-2</v>
      </c>
      <c r="V69" s="52">
        <v>4.4234953891518602E-2</v>
      </c>
      <c r="W69" s="52">
        <v>0.20783145533536088</v>
      </c>
      <c r="X69" s="52">
        <v>5.0665126072528488E-2</v>
      </c>
      <c r="Y69" s="52">
        <v>-2.7030020095523022E-2</v>
      </c>
      <c r="Z69" s="52">
        <v>6.7583652013430084E-2</v>
      </c>
      <c r="AA69" s="52">
        <v>0.50429262428494925</v>
      </c>
      <c r="AB69" s="52">
        <v>1.4474491550161752</v>
      </c>
      <c r="AC69" s="52">
        <v>0.99785106979351479</v>
      </c>
      <c r="AD69" t="s">
        <v>25</v>
      </c>
      <c r="AE69" s="15">
        <f>I64*(L66/100)*(U54/100)</f>
        <v>29.249409550570892</v>
      </c>
      <c r="AF69" s="15">
        <f>I64*(M66/100)*(V54/100)</f>
        <v>74.815106588892633</v>
      </c>
      <c r="AG69" s="15">
        <f>I64*(N66/100)*(W54/100)</f>
        <v>11.357644418357095</v>
      </c>
      <c r="AH69" s="15">
        <f>I64*(O66/100)*(X54/100)</f>
        <v>14.191816228170758</v>
      </c>
      <c r="AI69" s="15">
        <f>I64*(P66/100)*(Y54/100)</f>
        <v>15.913335841859643</v>
      </c>
      <c r="AJ69" s="15">
        <f>I64*(Q66/100)*(Z54/100)</f>
        <v>17.779814928118196</v>
      </c>
      <c r="AK69" s="15">
        <f>I64*(R66/100)*(AA54/100)</f>
        <v>18.492896513835227</v>
      </c>
      <c r="AL69" s="15">
        <f>I64*(S66/100)*(AB54/100)</f>
        <v>18.808385859794608</v>
      </c>
      <c r="AM69" s="15">
        <f>I64*(T66/100)*(AC54/100)</f>
        <v>14.214289989001522</v>
      </c>
      <c r="AN69" s="15">
        <f t="shared" si="123"/>
        <v>214.82269991860056</v>
      </c>
      <c r="AO69" s="15"/>
      <c r="AP69" t="s">
        <v>25</v>
      </c>
      <c r="AQ69" s="15">
        <f>$I$64*(L66/100)*((U54/100)+(U69/200))</f>
        <v>26.867201806172186</v>
      </c>
      <c r="AR69" s="15">
        <f t="shared" ref="AR69:AY69" si="129">$I$64*(M66/100)*((V54/100)+(V69/200))</f>
        <v>80.981367367758523</v>
      </c>
      <c r="AS69" s="15">
        <f t="shared" si="129"/>
        <v>14.512383400722188</v>
      </c>
      <c r="AT69" s="15">
        <f t="shared" si="129"/>
        <v>14.973047420134749</v>
      </c>
      <c r="AU69" s="15">
        <f t="shared" si="129"/>
        <v>15.566424056458743</v>
      </c>
      <c r="AV69" s="15">
        <f t="shared" si="129"/>
        <v>18.319285135030007</v>
      </c>
      <c r="AW69" s="15">
        <f t="shared" si="129"/>
        <v>20.681932679237601</v>
      </c>
      <c r="AX69" s="15">
        <f t="shared" si="129"/>
        <v>22.51541200541493</v>
      </c>
      <c r="AY69" s="15">
        <f t="shared" si="129"/>
        <v>15.264432608554205</v>
      </c>
      <c r="AZ69" s="15">
        <f t="shared" si="125"/>
        <v>229.68148647948317</v>
      </c>
    </row>
    <row r="70" spans="8:52" ht="15.75" thickBot="1" x14ac:dyDescent="0.3">
      <c r="H70" s="85" t="s">
        <v>24</v>
      </c>
      <c r="I70" s="86">
        <f t="shared" si="127"/>
        <v>990.71610615517591</v>
      </c>
      <c r="J70" s="86">
        <f t="shared" si="128"/>
        <v>1108.4683545287958</v>
      </c>
      <c r="K70" s="148" t="s">
        <v>29</v>
      </c>
      <c r="L70" s="149"/>
      <c r="M70" s="149"/>
      <c r="N70" s="149"/>
      <c r="O70" s="149"/>
      <c r="P70" s="149"/>
      <c r="Q70" s="149"/>
      <c r="R70" s="149"/>
      <c r="S70" s="149"/>
      <c r="T70" s="150"/>
      <c r="U70" s="154" t="s">
        <v>29</v>
      </c>
      <c r="V70" s="146"/>
      <c r="W70" s="146"/>
      <c r="X70" s="146"/>
      <c r="Y70" s="146"/>
      <c r="Z70" s="146"/>
      <c r="AA70" s="146"/>
      <c r="AB70" s="146"/>
      <c r="AC70" s="146"/>
      <c r="AD70" s="146" t="s">
        <v>29</v>
      </c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5"/>
      <c r="AP70" s="146" t="s">
        <v>29</v>
      </c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</row>
    <row r="71" spans="8:52" x14ac:dyDescent="0.25">
      <c r="H71" s="85" t="s">
        <v>25</v>
      </c>
      <c r="I71" s="86">
        <f t="shared" si="127"/>
        <v>535.48556208876471</v>
      </c>
      <c r="J71" s="86">
        <f t="shared" si="128"/>
        <v>566.5556933032276</v>
      </c>
      <c r="K71" s="34" t="s">
        <v>61</v>
      </c>
      <c r="L71" s="42" t="s">
        <v>8</v>
      </c>
      <c r="M71" s="42" t="s">
        <v>9</v>
      </c>
      <c r="N71" s="42" t="s">
        <v>10</v>
      </c>
      <c r="O71" s="42" t="s">
        <v>11</v>
      </c>
      <c r="P71" s="42" t="s">
        <v>12</v>
      </c>
      <c r="Q71" s="42" t="s">
        <v>13</v>
      </c>
      <c r="R71" s="42" t="s">
        <v>14</v>
      </c>
      <c r="S71" s="42" t="s">
        <v>15</v>
      </c>
      <c r="T71" s="43" t="s">
        <v>16</v>
      </c>
      <c r="U71" s="52" t="s">
        <v>8</v>
      </c>
      <c r="V71" s="52" t="s">
        <v>9</v>
      </c>
      <c r="W71" s="52" t="s">
        <v>10</v>
      </c>
      <c r="X71" s="52" t="s">
        <v>11</v>
      </c>
      <c r="Y71" s="52" t="s">
        <v>12</v>
      </c>
      <c r="Z71" s="52" t="s">
        <v>13</v>
      </c>
      <c r="AA71" s="52" t="s">
        <v>14</v>
      </c>
      <c r="AB71" s="52" t="s">
        <v>15</v>
      </c>
      <c r="AC71" s="52" t="s">
        <v>16</v>
      </c>
      <c r="AE71" t="s">
        <v>8</v>
      </c>
      <c r="AF71" t="s">
        <v>9</v>
      </c>
      <c r="AG71" t="s">
        <v>10</v>
      </c>
      <c r="AH71" t="s">
        <v>11</v>
      </c>
      <c r="AI71" t="s">
        <v>12</v>
      </c>
      <c r="AJ71" t="s">
        <v>13</v>
      </c>
      <c r="AK71" t="s">
        <v>14</v>
      </c>
      <c r="AL71" t="s">
        <v>15</v>
      </c>
      <c r="AM71" t="s">
        <v>16</v>
      </c>
      <c r="AN71" t="s">
        <v>61</v>
      </c>
      <c r="AO71" s="15"/>
      <c r="AQ71" t="s">
        <v>8</v>
      </c>
      <c r="AR71" t="s">
        <v>9</v>
      </c>
      <c r="AS71" t="s">
        <v>10</v>
      </c>
      <c r="AT71" t="s">
        <v>11</v>
      </c>
      <c r="AU71" t="s">
        <v>12</v>
      </c>
      <c r="AV71" t="s">
        <v>13</v>
      </c>
      <c r="AW71" t="s">
        <v>14</v>
      </c>
      <c r="AX71" t="s">
        <v>15</v>
      </c>
      <c r="AY71" t="s">
        <v>16</v>
      </c>
      <c r="AZ71" t="s">
        <v>61</v>
      </c>
    </row>
    <row r="72" spans="8:52" x14ac:dyDescent="0.25">
      <c r="H72" s="85" t="s">
        <v>73</v>
      </c>
      <c r="I72" s="86">
        <f t="shared" si="127"/>
        <v>3928.8131369629582</v>
      </c>
      <c r="J72" s="86">
        <f t="shared" si="128"/>
        <v>4031.7056576282071</v>
      </c>
      <c r="K72" s="50">
        <f>50.54321</f>
        <v>50.543210000000002</v>
      </c>
      <c r="L72" s="35">
        <v>8.8553546700689267</v>
      </c>
      <c r="M72" s="35">
        <v>26.681862737471025</v>
      </c>
      <c r="N72" s="35">
        <v>3.2353238630175349</v>
      </c>
      <c r="O72" s="35">
        <v>3.5081918750291736</v>
      </c>
      <c r="P72" s="35">
        <v>3.1380793826142428</v>
      </c>
      <c r="Q72" s="35">
        <v>2.2208694434503897</v>
      </c>
      <c r="R72" s="35">
        <v>1.4499152028130882</v>
      </c>
      <c r="S72" s="35">
        <v>0.98547556440696427</v>
      </c>
      <c r="T72" s="36">
        <v>0.46813492866144923</v>
      </c>
      <c r="U72" s="52">
        <v>0.14403851711782023</v>
      </c>
      <c r="V72" s="52">
        <v>1.115754618836684E-2</v>
      </c>
      <c r="W72" s="52">
        <v>-0.27976002493745511</v>
      </c>
      <c r="X72" s="52">
        <v>-0.30519960042277949</v>
      </c>
      <c r="Y72" s="52">
        <v>-0.80337939529339941</v>
      </c>
      <c r="Z72" s="52">
        <v>-1.6571599678560629</v>
      </c>
      <c r="AA72" s="52">
        <v>-3.3556645903281126</v>
      </c>
      <c r="AB72" s="52">
        <v>-6.7655216396821309</v>
      </c>
      <c r="AC72" s="52">
        <v>-4.3037609875594409</v>
      </c>
      <c r="AD72" t="s">
        <v>22</v>
      </c>
      <c r="AE72" s="15">
        <f>I64*(L72/100)*(U57/100)</f>
        <v>57.233017148328706</v>
      </c>
      <c r="AF72" s="15">
        <f>I64*(M72/100)*(V57/100)</f>
        <v>77.709318305099259</v>
      </c>
      <c r="AG72" s="15">
        <f>I64*(N72/100)*(W57/100)</f>
        <v>24.745825666668473</v>
      </c>
      <c r="AH72" s="15">
        <f>I64*(O72/100)*(X57/100)</f>
        <v>41.655372770139792</v>
      </c>
      <c r="AI72" s="15">
        <f>I64*(P72/100)*(Y57/100)</f>
        <v>63.119905453082495</v>
      </c>
      <c r="AJ72" s="15">
        <f>I64*(Q72/100)*(Z57/100)</f>
        <v>103.07588650775692</v>
      </c>
      <c r="AK72" s="15">
        <f>I64*(R72/100)*(AA57/100)</f>
        <v>134.33720149031438</v>
      </c>
      <c r="AL72" s="15">
        <f>I64*(S72/100)*(AB57/100)</f>
        <v>121.46488375278815</v>
      </c>
      <c r="AM72" s="15">
        <f>I64*(T72/100)*(AC57/100)</f>
        <v>55.383544519201173</v>
      </c>
      <c r="AN72" s="15">
        <f>SUM(AE72:AM72)</f>
        <v>678.72495561337939</v>
      </c>
      <c r="AO72" s="15"/>
      <c r="AP72" t="s">
        <v>22</v>
      </c>
      <c r="AQ72" s="15">
        <f>$I$64*(L72/100)*((U57/100)+(U72/200))</f>
        <v>63.559283203151629</v>
      </c>
      <c r="AR72" s="15">
        <f t="shared" ref="AR72:AY72" si="130">$I$64*(M72/100)*((V57/100)+(V72/200))</f>
        <v>79.185866713503927</v>
      </c>
      <c r="AS72" s="15">
        <f t="shared" si="130"/>
        <v>20.256653414630957</v>
      </c>
      <c r="AT72" s="15">
        <f t="shared" si="130"/>
        <v>36.34493712838475</v>
      </c>
      <c r="AU72" s="15">
        <f t="shared" si="130"/>
        <v>50.615948631505532</v>
      </c>
      <c r="AV72" s="15">
        <f t="shared" si="130"/>
        <v>84.822211539800094</v>
      </c>
      <c r="AW72" s="15">
        <f t="shared" si="130"/>
        <v>110.20571919648289</v>
      </c>
      <c r="AX72" s="15">
        <f t="shared" si="130"/>
        <v>88.396726181271816</v>
      </c>
      <c r="AY72" s="15">
        <f t="shared" si="130"/>
        <v>45.390863107762542</v>
      </c>
      <c r="AZ72" s="15">
        <f>SUM(AQ72:AY72)</f>
        <v>578.77820911649417</v>
      </c>
    </row>
    <row r="73" spans="8:52" x14ac:dyDescent="0.25">
      <c r="K73" s="34"/>
      <c r="L73" s="35"/>
      <c r="M73" s="35"/>
      <c r="N73" s="35"/>
      <c r="O73" s="35"/>
      <c r="P73" s="35"/>
      <c r="Q73" s="35"/>
      <c r="R73" s="35"/>
      <c r="S73" s="35"/>
      <c r="T73" s="36"/>
      <c r="U73" s="52">
        <v>0.20104047044996484</v>
      </c>
      <c r="V73" s="52">
        <v>5.7880006843508525E-2</v>
      </c>
      <c r="W73" s="52">
        <v>0.17449729092590782</v>
      </c>
      <c r="X73" s="52">
        <v>0.31144715952860058</v>
      </c>
      <c r="Y73" s="52">
        <v>0.28739271383874265</v>
      </c>
      <c r="Z73" s="52">
        <v>0.32677708399270422</v>
      </c>
      <c r="AA73" s="52">
        <v>-0.14616624372746578</v>
      </c>
      <c r="AB73" s="52">
        <v>0.52350057697091046</v>
      </c>
      <c r="AC73" s="52">
        <v>-1.3004315390040979</v>
      </c>
      <c r="AD73" t="s">
        <v>23</v>
      </c>
      <c r="AE73" s="15">
        <f>I64*(L72/100)*(U58/100)</f>
        <v>36.765580552237644</v>
      </c>
      <c r="AF73" s="15">
        <f>I64*(M72/100)*(V58/100)</f>
        <v>86.661127031421984</v>
      </c>
      <c r="AG73" s="15">
        <f>I64*(N72/100)*(W58/100)</f>
        <v>28.484403645086012</v>
      </c>
      <c r="AH73" s="15">
        <f>I64*(O72/100)*(X58/100)</f>
        <v>48.468167382078541</v>
      </c>
      <c r="AI73" s="15">
        <f>I64*(P72/100)*(Y58/100)</f>
        <v>71.186347044530734</v>
      </c>
      <c r="AJ73" s="15">
        <f>I64*(Q72/100)*(Z58/100)</f>
        <v>107.98426205574536</v>
      </c>
      <c r="AK73" s="15">
        <f>I64*(R72/100)*(AA58/100)</f>
        <v>142.97987459318776</v>
      </c>
      <c r="AL73" s="15">
        <f>I64*(S72/100)*(AB58/100)</f>
        <v>174.32640116200156</v>
      </c>
      <c r="AM73" s="15">
        <f>I64*(T72/100)*(AC58/100)</f>
        <v>103.36766811073578</v>
      </c>
      <c r="AN73" s="15">
        <f t="shared" ref="AN73:AN75" si="131">SUM(AE73:AM73)</f>
        <v>800.22383157702541</v>
      </c>
      <c r="AO73" s="15"/>
      <c r="AP73" t="s">
        <v>23</v>
      </c>
      <c r="AQ73" s="15">
        <f>$I$64*(L72/100)*((U58/100)+(U73/200))</f>
        <v>45.595409748638708</v>
      </c>
      <c r="AR73" s="15">
        <f t="shared" ref="AR73:AY73" si="132">$I$64*(M72/100)*((V58/100)+(V73/200))</f>
        <v>94.320753130244654</v>
      </c>
      <c r="AS73" s="15">
        <f t="shared" si="132"/>
        <v>31.284476302555333</v>
      </c>
      <c r="AT73" s="15">
        <f t="shared" si="132"/>
        <v>53.887309786567101</v>
      </c>
      <c r="AU73" s="15">
        <f t="shared" si="132"/>
        <v>75.659384448437606</v>
      </c>
      <c r="AV73" s="15">
        <f t="shared" si="132"/>
        <v>111.58372305762835</v>
      </c>
      <c r="AW73" s="15">
        <f t="shared" si="132"/>
        <v>141.9287540096135</v>
      </c>
      <c r="AX73" s="15">
        <f t="shared" si="132"/>
        <v>176.88513949586743</v>
      </c>
      <c r="AY73" s="15">
        <f t="shared" si="132"/>
        <v>100.34826296620804</v>
      </c>
      <c r="AZ73" s="15">
        <f t="shared" ref="AZ73:AZ75" si="133">SUM(AQ73:AY73)</f>
        <v>831.49321294576066</v>
      </c>
    </row>
    <row r="74" spans="8:52" x14ac:dyDescent="0.25">
      <c r="K74" s="34"/>
      <c r="L74" s="35"/>
      <c r="M74" s="35"/>
      <c r="N74" s="35"/>
      <c r="O74" s="35"/>
      <c r="P74" s="35"/>
      <c r="Q74" s="35"/>
      <c r="R74" s="35"/>
      <c r="S74" s="35"/>
      <c r="T74" s="36"/>
      <c r="U74" s="52">
        <v>-3.008374490354776E-2</v>
      </c>
      <c r="V74" s="52">
        <v>4.614214374372122E-2</v>
      </c>
      <c r="W74" s="52">
        <v>0.14651694629047918</v>
      </c>
      <c r="X74" s="52">
        <v>0.22389440948563888</v>
      </c>
      <c r="Y74" s="52">
        <v>0.47844450618716561</v>
      </c>
      <c r="Z74" s="52">
        <v>0.44792082143525302</v>
      </c>
      <c r="AA74" s="52">
        <v>1.340424342564134</v>
      </c>
      <c r="AB74" s="52">
        <v>2.8684618535260693</v>
      </c>
      <c r="AC74" s="52">
        <v>5.824927851113447</v>
      </c>
      <c r="AD74" t="s">
        <v>24</v>
      </c>
      <c r="AE74" s="15">
        <f>I64*(L72/100)*(U59/100)</f>
        <v>17.81425037067185</v>
      </c>
      <c r="AF74" s="15">
        <f>I64*(M72/100)*(V59/100)</f>
        <v>66.662405408786142</v>
      </c>
      <c r="AG74" s="15">
        <f>I64*(N72/100)*(W59/100)</f>
        <v>17.090642187051603</v>
      </c>
      <c r="AH74" s="15">
        <f>I64*(O72/100)*(X59/100)</f>
        <v>29.197691194023218</v>
      </c>
      <c r="AI74" s="15">
        <f>I64*(P72/100)*(Y59/100)</f>
        <v>47.390344349758422</v>
      </c>
      <c r="AJ74" s="15">
        <f>I64*(Q72/100)*(Z59/100)</f>
        <v>63.382066858807057</v>
      </c>
      <c r="AK74" s="15">
        <f>I64*(R72/100)*(AA59/100)</f>
        <v>94.129983142164335</v>
      </c>
      <c r="AL74" s="15">
        <f>I64*(S72/100)*(AB59/100)</f>
        <v>134.48591929108704</v>
      </c>
      <c r="AM74" s="15">
        <f>I64*(T72/100)*(AC59/100)</f>
        <v>107.62794076605896</v>
      </c>
      <c r="AN74" s="15">
        <f t="shared" si="131"/>
        <v>577.78124356840863</v>
      </c>
      <c r="AO74" s="15"/>
      <c r="AP74" t="s">
        <v>24</v>
      </c>
      <c r="AQ74" s="15">
        <f>$I$64*(L72/100)*((U59/100)+(U74/200))</f>
        <v>16.49295258176452</v>
      </c>
      <c r="AR74" s="15">
        <f t="shared" ref="AR74:AY74" si="134">$I$64*(M72/100)*((V59/100)+(V74/200))</f>
        <v>72.76868610482363</v>
      </c>
      <c r="AS74" s="15">
        <f t="shared" si="134"/>
        <v>19.441727943093905</v>
      </c>
      <c r="AT74" s="15">
        <f t="shared" si="134"/>
        <v>33.093426478326336</v>
      </c>
      <c r="AU74" s="15">
        <f t="shared" si="134"/>
        <v>54.836949878769047</v>
      </c>
      <c r="AV74" s="15">
        <f t="shared" si="134"/>
        <v>68.315930362906329</v>
      </c>
      <c r="AW74" s="15">
        <f t="shared" si="134"/>
        <v>103.76933338653555</v>
      </c>
      <c r="AX74" s="15">
        <f t="shared" si="134"/>
        <v>148.5062348871422</v>
      </c>
      <c r="AY74" s="15">
        <f t="shared" si="134"/>
        <v>121.15254132567324</v>
      </c>
      <c r="AZ74" s="15">
        <f t="shared" si="133"/>
        <v>638.37778294903478</v>
      </c>
    </row>
    <row r="75" spans="8:52" ht="15.75" thickBot="1" x14ac:dyDescent="0.3">
      <c r="K75" s="37"/>
      <c r="L75" s="38"/>
      <c r="M75" s="38"/>
      <c r="N75" s="38"/>
      <c r="O75" s="38"/>
      <c r="P75" s="38"/>
      <c r="Q75" s="38"/>
      <c r="R75" s="38"/>
      <c r="S75" s="38"/>
      <c r="T75" s="39"/>
      <c r="U75" s="52">
        <v>-7.6062887284391173E-2</v>
      </c>
      <c r="V75" s="52">
        <v>5.9375465982703268E-2</v>
      </c>
      <c r="W75" s="52">
        <v>7.806219043726928E-2</v>
      </c>
      <c r="X75" s="52">
        <v>-3.3771588196020441E-2</v>
      </c>
      <c r="Y75" s="52">
        <v>-6.1537277137288182E-2</v>
      </c>
      <c r="Z75" s="52">
        <v>0.10100279200448981</v>
      </c>
      <c r="AA75" s="52">
        <v>0.1670303490561964</v>
      </c>
      <c r="AB75" s="52">
        <v>0.27176545618106918</v>
      </c>
      <c r="AC75" s="52">
        <v>3.5942442686282448</v>
      </c>
      <c r="AD75" t="s">
        <v>25</v>
      </c>
      <c r="AE75" s="15">
        <f>I64*(L72/100)*(U60/100)</f>
        <v>17.056197163409216</v>
      </c>
      <c r="AF75" s="15">
        <f>I64*(M72/100)*(V60/100)</f>
        <v>49.139715987048078</v>
      </c>
      <c r="AG75" s="15">
        <f>I64*(N72/100)*(W60/100)</f>
        <v>8.0112385251804419</v>
      </c>
      <c r="AH75" s="15">
        <f>I64*(O72/100)*(X60/100)</f>
        <v>10.316517555221537</v>
      </c>
      <c r="AI75" s="15">
        <f>I64*(P72/100)*(Y60/100)</f>
        <v>16.536205262468894</v>
      </c>
      <c r="AJ75" s="15">
        <f>I64*(Q72/100)*(Z60/100)</f>
        <v>24.968693004984601</v>
      </c>
      <c r="AK75" s="15">
        <f>I64*(R72/100)*(AA60/100)</f>
        <v>45.280091691140932</v>
      </c>
      <c r="AL75" s="15">
        <f>I64*(S72/100)*(AB60/100)</f>
        <v>68.409022529570294</v>
      </c>
      <c r="AM75" s="15">
        <f>I64*(T72/100)*(AC60/100)</f>
        <v>80.94518045114016</v>
      </c>
      <c r="AN75" s="15">
        <f t="shared" si="131"/>
        <v>320.6628621701642</v>
      </c>
      <c r="AO75" s="15"/>
      <c r="AP75" t="s">
        <v>25</v>
      </c>
      <c r="AQ75" s="15">
        <f>$I$64*(L72/100)*((U60/100)+(U75/200))</f>
        <v>13.715465312737216</v>
      </c>
      <c r="AR75" s="15">
        <f t="shared" ref="AR75:AY75" si="135">$I$64*(M72/100)*((V60/100)+(V75/200))</f>
        <v>56.997245619007309</v>
      </c>
      <c r="AS75" s="15">
        <f t="shared" si="135"/>
        <v>9.2638643044446614</v>
      </c>
      <c r="AT75" s="15">
        <f t="shared" si="135"/>
        <v>9.7288960596940655</v>
      </c>
      <c r="AU75" s="15">
        <f t="shared" si="135"/>
        <v>15.578426832066087</v>
      </c>
      <c r="AV75" s="15">
        <f t="shared" si="135"/>
        <v>26.081242289222587</v>
      </c>
      <c r="AW75" s="15">
        <f t="shared" si="135"/>
        <v>46.481251640916476</v>
      </c>
      <c r="AX75" s="15">
        <f t="shared" si="135"/>
        <v>69.737343301582911</v>
      </c>
      <c r="AY75" s="15">
        <f t="shared" si="135"/>
        <v>89.290471464073121</v>
      </c>
      <c r="AZ75" s="15">
        <f t="shared" si="133"/>
        <v>336.87420682374443</v>
      </c>
    </row>
    <row r="76" spans="8:52" x14ac:dyDescent="0.25">
      <c r="AD76" s="146" t="s">
        <v>73</v>
      </c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5"/>
      <c r="AP76" s="146" t="s">
        <v>73</v>
      </c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</row>
    <row r="77" spans="8:52" x14ac:dyDescent="0.25">
      <c r="AE77" t="s">
        <v>8</v>
      </c>
      <c r="AF77" t="s">
        <v>9</v>
      </c>
      <c r="AG77" t="s">
        <v>10</v>
      </c>
      <c r="AH77" t="s">
        <v>11</v>
      </c>
      <c r="AI77" t="s">
        <v>12</v>
      </c>
      <c r="AJ77" t="s">
        <v>13</v>
      </c>
      <c r="AK77" t="s">
        <v>14</v>
      </c>
      <c r="AL77" t="s">
        <v>15</v>
      </c>
      <c r="AM77" t="s">
        <v>16</v>
      </c>
      <c r="AN77" t="s">
        <v>61</v>
      </c>
      <c r="AO77" s="15"/>
      <c r="AQ77" t="s">
        <v>8</v>
      </c>
      <c r="AR77" t="s">
        <v>9</v>
      </c>
      <c r="AS77" t="s">
        <v>10</v>
      </c>
      <c r="AT77" t="s">
        <v>11</v>
      </c>
      <c r="AU77" t="s">
        <v>12</v>
      </c>
      <c r="AV77" t="s">
        <v>13</v>
      </c>
      <c r="AW77" t="s">
        <v>14</v>
      </c>
      <c r="AX77" t="s">
        <v>15</v>
      </c>
      <c r="AY77" t="s">
        <v>16</v>
      </c>
      <c r="AZ77" t="s">
        <v>61</v>
      </c>
    </row>
    <row r="78" spans="8:52" x14ac:dyDescent="0.25">
      <c r="AD78" t="s">
        <v>22</v>
      </c>
      <c r="AE78" s="15">
        <f>AE66+AE72</f>
        <v>140.04303379799694</v>
      </c>
      <c r="AF78" s="15">
        <f t="shared" ref="AF78:AN78" si="136">AF66+AF72</f>
        <v>166.31609858335847</v>
      </c>
      <c r="AG78" s="15">
        <f t="shared" si="136"/>
        <v>49.590672831824619</v>
      </c>
      <c r="AH78" s="15">
        <f t="shared" si="136"/>
        <v>78.398568210198334</v>
      </c>
      <c r="AI78" s="15">
        <f t="shared" si="136"/>
        <v>101.64692907021637</v>
      </c>
      <c r="AJ78" s="15">
        <f t="shared" si="136"/>
        <v>143.24509801202396</v>
      </c>
      <c r="AK78" s="15">
        <f t="shared" si="136"/>
        <v>174.13713094400325</v>
      </c>
      <c r="AL78" s="15">
        <f t="shared" si="136"/>
        <v>155.73794243063611</v>
      </c>
      <c r="AM78" s="15">
        <f t="shared" si="136"/>
        <v>77.251682963818894</v>
      </c>
      <c r="AN78" s="15">
        <f t="shared" si="136"/>
        <v>1086.367156844077</v>
      </c>
      <c r="AO78" s="15"/>
      <c r="AP78" t="s">
        <v>22</v>
      </c>
      <c r="AQ78" s="15">
        <f>AQ66+AQ72</f>
        <v>156.06650517485303</v>
      </c>
      <c r="AR78" s="15">
        <f t="shared" ref="AR78:AZ78" si="137">AR66+AR72</f>
        <v>171.37400555711594</v>
      </c>
      <c r="AS78" s="15">
        <f t="shared" si="137"/>
        <v>42.379424801484454</v>
      </c>
      <c r="AT78" s="15">
        <f t="shared" si="137"/>
        <v>70.878561060817646</v>
      </c>
      <c r="AU78" s="15">
        <f t="shared" si="137"/>
        <v>89.836660350321267</v>
      </c>
      <c r="AV78" s="15">
        <f t="shared" si="137"/>
        <v>120.78384768449945</v>
      </c>
      <c r="AW78" s="15">
        <f t="shared" si="137"/>
        <v>142.5705665436825</v>
      </c>
      <c r="AX78" s="15">
        <f t="shared" si="137"/>
        <v>109.73057326709318</v>
      </c>
      <c r="AY78" s="15">
        <f t="shared" si="137"/>
        <v>62.293439540450436</v>
      </c>
      <c r="AZ78" s="15">
        <f t="shared" si="137"/>
        <v>965.91358398031798</v>
      </c>
    </row>
    <row r="79" spans="8:52" x14ac:dyDescent="0.25">
      <c r="AD79" t="s">
        <v>23</v>
      </c>
      <c r="AE79" s="15">
        <f t="shared" ref="AE79:AN81" si="138">AE67+AE73</f>
        <v>107.04013596594694</v>
      </c>
      <c r="AF79" s="15">
        <f t="shared" si="138"/>
        <v>200.96198432000796</v>
      </c>
      <c r="AG79" s="15">
        <f t="shared" si="138"/>
        <v>60.250315377678504</v>
      </c>
      <c r="AH79" s="15">
        <f t="shared" si="138"/>
        <v>98.236728401417082</v>
      </c>
      <c r="AI79" s="15">
        <f t="shared" si="138"/>
        <v>126.88302249103947</v>
      </c>
      <c r="AJ79" s="15">
        <f t="shared" si="138"/>
        <v>153.64107076004888</v>
      </c>
      <c r="AK79" s="15">
        <f t="shared" si="138"/>
        <v>196.64947643225304</v>
      </c>
      <c r="AL79" s="15">
        <f t="shared" si="138"/>
        <v>230.1246125460589</v>
      </c>
      <c r="AM79" s="15">
        <f t="shared" si="138"/>
        <v>142.45696558048996</v>
      </c>
      <c r="AN79" s="15">
        <f t="shared" si="138"/>
        <v>1316.2443118749406</v>
      </c>
      <c r="AO79" s="15"/>
      <c r="AP79" t="s">
        <v>23</v>
      </c>
      <c r="AQ79" s="15">
        <f t="shared" ref="AQ79:AZ81" si="139">AQ67+AQ73</f>
        <v>131.69430831295116</v>
      </c>
      <c r="AR79" s="15">
        <f t="shared" si="139"/>
        <v>216.92365972517848</v>
      </c>
      <c r="AS79" s="15">
        <f t="shared" si="139"/>
        <v>63.266620424670904</v>
      </c>
      <c r="AT79" s="15">
        <f t="shared" si="139"/>
        <v>109.59612054921075</v>
      </c>
      <c r="AU79" s="15">
        <f t="shared" si="139"/>
        <v>136.10534861695345</v>
      </c>
      <c r="AV79" s="15">
        <f t="shared" si="139"/>
        <v>159.44588652446231</v>
      </c>
      <c r="AW79" s="15">
        <f t="shared" si="139"/>
        <v>199.47171742821112</v>
      </c>
      <c r="AX79" s="15">
        <f t="shared" si="139"/>
        <v>231.43416139658285</v>
      </c>
      <c r="AY79" s="15">
        <f t="shared" si="139"/>
        <v>142.83020283764446</v>
      </c>
      <c r="AZ79" s="15">
        <f t="shared" si="139"/>
        <v>1390.7680258158655</v>
      </c>
    </row>
    <row r="80" spans="8:52" x14ac:dyDescent="0.25">
      <c r="AD80" t="s">
        <v>24</v>
      </c>
      <c r="AE80" s="15">
        <f t="shared" si="138"/>
        <v>58.649465002962387</v>
      </c>
      <c r="AF80" s="15">
        <f t="shared" si="138"/>
        <v>166.22695382380235</v>
      </c>
      <c r="AG80" s="15">
        <f t="shared" si="138"/>
        <v>40.338320605876284</v>
      </c>
      <c r="AH80" s="15">
        <f t="shared" si="138"/>
        <v>61.469492480000554</v>
      </c>
      <c r="AI80" s="15">
        <f t="shared" si="138"/>
        <v>97.642983850367813</v>
      </c>
      <c r="AJ80" s="15">
        <f t="shared" si="138"/>
        <v>106.40482890709305</v>
      </c>
      <c r="AK80" s="15">
        <f t="shared" si="138"/>
        <v>138.35212697959639</v>
      </c>
      <c r="AL80" s="15">
        <f t="shared" si="138"/>
        <v>179.83502741970293</v>
      </c>
      <c r="AM80" s="15">
        <f t="shared" si="138"/>
        <v>141.79690708577414</v>
      </c>
      <c r="AN80" s="15">
        <f t="shared" si="138"/>
        <v>990.71610615517591</v>
      </c>
      <c r="AO80" s="15"/>
      <c r="AP80" t="s">
        <v>24</v>
      </c>
      <c r="AQ80" s="15">
        <f t="shared" si="139"/>
        <v>62.276210034894397</v>
      </c>
      <c r="AR80" s="15">
        <f t="shared" si="139"/>
        <v>182.83816120053442</v>
      </c>
      <c r="AS80" s="15">
        <f t="shared" si="139"/>
        <v>45.696547659105683</v>
      </c>
      <c r="AT80" s="15">
        <f t="shared" si="139"/>
        <v>71.444420716506428</v>
      </c>
      <c r="AU80" s="15">
        <f t="shared" si="139"/>
        <v>115.72238818772406</v>
      </c>
      <c r="AV80" s="15">
        <f t="shared" si="139"/>
        <v>118.80615623013307</v>
      </c>
      <c r="AW80" s="15">
        <f t="shared" si="139"/>
        <v>154.89432308631982</v>
      </c>
      <c r="AX80" s="15">
        <f t="shared" si="139"/>
        <v>201.29328823839504</v>
      </c>
      <c r="AY80" s="15">
        <f t="shared" si="139"/>
        <v>155.49685917518266</v>
      </c>
      <c r="AZ80" s="15">
        <f t="shared" si="139"/>
        <v>1108.4683545287958</v>
      </c>
    </row>
    <row r="81" spans="6:63" x14ac:dyDescent="0.25">
      <c r="AD81" t="s">
        <v>25</v>
      </c>
      <c r="AE81" s="15">
        <f t="shared" si="138"/>
        <v>46.305606713980112</v>
      </c>
      <c r="AF81" s="15">
        <f t="shared" si="138"/>
        <v>123.95482257594071</v>
      </c>
      <c r="AG81" s="15">
        <f t="shared" si="138"/>
        <v>19.368882943537535</v>
      </c>
      <c r="AH81" s="15">
        <f t="shared" si="138"/>
        <v>24.508333783392295</v>
      </c>
      <c r="AI81" s="15">
        <f t="shared" si="138"/>
        <v>32.449541104328539</v>
      </c>
      <c r="AJ81" s="15">
        <f t="shared" si="138"/>
        <v>42.7485079331028</v>
      </c>
      <c r="AK81" s="15">
        <f t="shared" si="138"/>
        <v>63.772988204976158</v>
      </c>
      <c r="AL81" s="15">
        <f t="shared" si="138"/>
        <v>87.217408389364905</v>
      </c>
      <c r="AM81" s="15">
        <f t="shared" si="138"/>
        <v>95.159470440141689</v>
      </c>
      <c r="AN81" s="15">
        <f t="shared" si="138"/>
        <v>535.48556208876471</v>
      </c>
      <c r="AO81" s="15"/>
      <c r="AP81" t="s">
        <v>25</v>
      </c>
      <c r="AQ81" s="15">
        <f t="shared" si="139"/>
        <v>40.582667118909399</v>
      </c>
      <c r="AR81" s="15">
        <f t="shared" si="139"/>
        <v>137.97861298676582</v>
      </c>
      <c r="AS81" s="15">
        <f t="shared" si="139"/>
        <v>23.776247705166849</v>
      </c>
      <c r="AT81" s="15">
        <f t="shared" si="139"/>
        <v>24.701943479828813</v>
      </c>
      <c r="AU81" s="15">
        <f t="shared" si="139"/>
        <v>31.144850888524829</v>
      </c>
      <c r="AV81" s="15">
        <f t="shared" si="139"/>
        <v>44.400527424252594</v>
      </c>
      <c r="AW81" s="15">
        <f t="shared" si="139"/>
        <v>67.163184320154073</v>
      </c>
      <c r="AX81" s="15">
        <f t="shared" si="139"/>
        <v>92.252755306997841</v>
      </c>
      <c r="AY81" s="15">
        <f t="shared" si="139"/>
        <v>104.55490407262732</v>
      </c>
      <c r="AZ81" s="15">
        <f t="shared" si="139"/>
        <v>566.5556933032276</v>
      </c>
    </row>
    <row r="82" spans="6:63" x14ac:dyDescent="0.25">
      <c r="AD82" t="s">
        <v>73</v>
      </c>
      <c r="AE82" s="15">
        <f>SUM(AE78:AE81)</f>
        <v>352.03824148088637</v>
      </c>
      <c r="AF82" s="15">
        <f t="shared" ref="AF82:AN82" si="140">SUM(AF78:AF81)</f>
        <v>657.45985930310951</v>
      </c>
      <c r="AG82" s="15">
        <f t="shared" si="140"/>
        <v>169.54819175891694</v>
      </c>
      <c r="AH82" s="15">
        <f t="shared" si="140"/>
        <v>262.61312287500829</v>
      </c>
      <c r="AI82" s="15">
        <f t="shared" si="140"/>
        <v>358.6224765159522</v>
      </c>
      <c r="AJ82" s="15">
        <f t="shared" si="140"/>
        <v>446.03950561226873</v>
      </c>
      <c r="AK82" s="15">
        <f t="shared" si="140"/>
        <v>572.91172256082882</v>
      </c>
      <c r="AL82" s="15">
        <f t="shared" si="140"/>
        <v>652.91499078576282</v>
      </c>
      <c r="AM82" s="15">
        <f t="shared" si="140"/>
        <v>456.66502607022471</v>
      </c>
      <c r="AN82" s="15">
        <f t="shared" si="140"/>
        <v>3928.8131369629582</v>
      </c>
      <c r="AO82" s="15"/>
      <c r="AP82" t="s">
        <v>73</v>
      </c>
      <c r="AQ82" s="15">
        <f>SUM(AQ78:AQ81)</f>
        <v>390.61969064160797</v>
      </c>
      <c r="AR82" s="15">
        <f t="shared" ref="AR82:AZ82" si="141">SUM(AR78:AR81)</f>
        <v>709.11443946959469</v>
      </c>
      <c r="AS82" s="15">
        <f t="shared" si="141"/>
        <v>175.11884059042788</v>
      </c>
      <c r="AT82" s="15">
        <f t="shared" si="141"/>
        <v>276.62104580636361</v>
      </c>
      <c r="AU82" s="15">
        <f t="shared" si="141"/>
        <v>372.80924804352361</v>
      </c>
      <c r="AV82" s="15">
        <f t="shared" si="141"/>
        <v>443.4364178633474</v>
      </c>
      <c r="AW82" s="15">
        <f t="shared" si="141"/>
        <v>564.09979137836751</v>
      </c>
      <c r="AX82" s="15">
        <f t="shared" si="141"/>
        <v>634.71077820906896</v>
      </c>
      <c r="AY82" s="15">
        <f t="shared" si="141"/>
        <v>465.17540562590489</v>
      </c>
      <c r="AZ82" s="15">
        <f t="shared" si="141"/>
        <v>4031.7056576282071</v>
      </c>
    </row>
    <row r="83" spans="6:63" x14ac:dyDescent="0.25">
      <c r="AO83" s="15"/>
    </row>
    <row r="84" spans="6:63" ht="15.75" thickBot="1" x14ac:dyDescent="0.3">
      <c r="AO84" s="15"/>
    </row>
    <row r="85" spans="6:63" ht="15.75" thickBot="1" x14ac:dyDescent="0.3">
      <c r="H85" t="s">
        <v>65</v>
      </c>
      <c r="K85" s="151" t="s">
        <v>71</v>
      </c>
      <c r="L85" s="152"/>
      <c r="M85" s="152"/>
      <c r="N85" s="152"/>
      <c r="O85" s="152"/>
      <c r="P85" s="152"/>
      <c r="Q85" s="152"/>
      <c r="R85" s="152"/>
      <c r="S85" s="152"/>
      <c r="T85" s="153"/>
      <c r="AD85" s="146" t="s">
        <v>77</v>
      </c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P85" s="146" t="s">
        <v>80</v>
      </c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</row>
    <row r="86" spans="6:63" ht="15.75" thickBot="1" x14ac:dyDescent="0.3">
      <c r="H86" s="30">
        <v>46022</v>
      </c>
      <c r="I86">
        <f>I50*0.988355</f>
        <v>98835.5</v>
      </c>
      <c r="K86" s="148" t="s">
        <v>68</v>
      </c>
      <c r="L86" s="149"/>
      <c r="M86" s="149"/>
      <c r="N86" s="149"/>
      <c r="O86" s="149"/>
      <c r="P86" s="149"/>
      <c r="Q86" s="149"/>
      <c r="R86" s="149"/>
      <c r="S86" s="149"/>
      <c r="T86" s="150"/>
      <c r="AD86" s="146" t="s">
        <v>68</v>
      </c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P86" s="146" t="s">
        <v>68</v>
      </c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</row>
    <row r="87" spans="6:63" ht="15.75" thickBot="1" x14ac:dyDescent="0.3">
      <c r="K87" s="37" t="s">
        <v>61</v>
      </c>
      <c r="L87" s="44" t="s">
        <v>8</v>
      </c>
      <c r="M87" s="44" t="s">
        <v>9</v>
      </c>
      <c r="N87" s="44" t="s">
        <v>10</v>
      </c>
      <c r="O87" s="44" t="s">
        <v>11</v>
      </c>
      <c r="P87" s="44" t="s">
        <v>12</v>
      </c>
      <c r="Q87" s="44" t="s">
        <v>13</v>
      </c>
      <c r="R87" s="44" t="s">
        <v>14</v>
      </c>
      <c r="S87" s="44" t="s">
        <v>15</v>
      </c>
      <c r="T87" s="45" t="s">
        <v>16</v>
      </c>
      <c r="AE87" t="s">
        <v>8</v>
      </c>
      <c r="AF87" t="s">
        <v>9</v>
      </c>
      <c r="AG87" t="s">
        <v>10</v>
      </c>
      <c r="AH87" t="s">
        <v>11</v>
      </c>
      <c r="AI87" t="s">
        <v>12</v>
      </c>
      <c r="AJ87" t="s">
        <v>13</v>
      </c>
      <c r="AK87" t="s">
        <v>14</v>
      </c>
      <c r="AL87" t="s">
        <v>15</v>
      </c>
      <c r="AM87" t="s">
        <v>16</v>
      </c>
      <c r="AN87" t="s">
        <v>61</v>
      </c>
      <c r="AQ87" t="s">
        <v>8</v>
      </c>
      <c r="AR87" t="s">
        <v>9</v>
      </c>
      <c r="AS87" t="s">
        <v>10</v>
      </c>
      <c r="AT87" t="s">
        <v>11</v>
      </c>
      <c r="AU87" t="s">
        <v>12</v>
      </c>
      <c r="AV87" t="s">
        <v>13</v>
      </c>
      <c r="AW87" t="s">
        <v>14</v>
      </c>
      <c r="AX87" t="s">
        <v>15</v>
      </c>
      <c r="AY87" t="s">
        <v>16</v>
      </c>
      <c r="AZ87" t="s">
        <v>61</v>
      </c>
    </row>
    <row r="88" spans="6:63" x14ac:dyDescent="0.25">
      <c r="H88" s="85" t="s">
        <v>191</v>
      </c>
      <c r="I88" s="85"/>
      <c r="J88" s="85"/>
      <c r="K88" s="31">
        <v>49.459399845012989</v>
      </c>
      <c r="L88" s="40">
        <v>9.1542667299107361</v>
      </c>
      <c r="M88" s="40">
        <v>27.549936463133978</v>
      </c>
      <c r="N88" s="40">
        <v>2.8899026158449819</v>
      </c>
      <c r="O88" s="40">
        <v>2.8539862307510622</v>
      </c>
      <c r="P88" s="40">
        <v>2.7809822740927697</v>
      </c>
      <c r="Q88" s="40">
        <v>2.1690373432806105</v>
      </c>
      <c r="R88" s="40">
        <v>1.215886754076217</v>
      </c>
      <c r="S88" s="40">
        <v>0.54948165238795155</v>
      </c>
      <c r="T88" s="41">
        <v>0.29591978153468373</v>
      </c>
      <c r="AD88" t="s">
        <v>22</v>
      </c>
      <c r="AE88" s="53">
        <f>$I$86*(L88/100)*(U51/100)</f>
        <v>80.515615547100538</v>
      </c>
      <c r="AF88" s="53">
        <f t="shared" ref="AF88:AM88" si="142">$I$86*(M88/100)*(V51/100)</f>
        <v>86.539467130182331</v>
      </c>
      <c r="AG88" s="53">
        <f t="shared" si="142"/>
        <v>23.374931781357652</v>
      </c>
      <c r="AH88" s="53">
        <f t="shared" si="142"/>
        <v>33.607895419955845</v>
      </c>
      <c r="AI88" s="53">
        <f t="shared" si="142"/>
        <v>41.254750251571622</v>
      </c>
      <c r="AJ88" s="53">
        <f t="shared" si="142"/>
        <v>53.940813876737764</v>
      </c>
      <c r="AK88" s="53">
        <f t="shared" si="142"/>
        <v>55.091941435366962</v>
      </c>
      <c r="AL88" s="53">
        <f t="shared" si="142"/>
        <v>36.338474876183845</v>
      </c>
      <c r="AM88" s="53">
        <f t="shared" si="142"/>
        <v>30.386887862723359</v>
      </c>
      <c r="AN88" s="53">
        <f t="shared" ref="AN88:AN91" si="143">SUM(AE88:AM88)</f>
        <v>441.05077818117991</v>
      </c>
      <c r="AO88" s="15"/>
      <c r="AP88" t="s">
        <v>22</v>
      </c>
      <c r="AQ88" s="15">
        <f>$I$86*(L88/100)*(((U51/100)+((U66*1.3333)/100)))</f>
        <v>105.65772492844133</v>
      </c>
      <c r="AR88" s="15">
        <f t="shared" ref="AR88:AY88" si="144">$I$86*(M88/100)*(((V51/100)+((V66*1.3333)/100)))</f>
        <v>95.866702590130387</v>
      </c>
      <c r="AS88" s="15">
        <f t="shared" si="144"/>
        <v>16.545695978841753</v>
      </c>
      <c r="AT88" s="15">
        <f t="shared" si="144"/>
        <v>28.218620605166763</v>
      </c>
      <c r="AU88" s="15">
        <f t="shared" si="144"/>
        <v>43.235504624469222</v>
      </c>
      <c r="AV88" s="15">
        <f t="shared" si="144"/>
        <v>38.874258715524583</v>
      </c>
      <c r="AW88" s="15">
        <f t="shared" si="144"/>
        <v>27.647814555576758</v>
      </c>
      <c r="AX88" s="15">
        <v>0</v>
      </c>
      <c r="AY88" s="15">
        <f t="shared" si="144"/>
        <v>11.987613598675358</v>
      </c>
      <c r="AZ88" s="15">
        <f>SUM(AQ88:AY88)</f>
        <v>368.03393559682615</v>
      </c>
      <c r="BB88" s="15"/>
      <c r="BC88" s="15"/>
      <c r="BD88" s="15"/>
      <c r="BE88" s="15"/>
      <c r="BF88" s="15"/>
      <c r="BG88" s="15"/>
      <c r="BH88" s="15"/>
      <c r="BI88" s="15"/>
      <c r="BJ88" s="15"/>
      <c r="BK88" s="15"/>
    </row>
    <row r="89" spans="6:63" x14ac:dyDescent="0.25">
      <c r="H89" s="85"/>
      <c r="I89" s="85" t="s">
        <v>74</v>
      </c>
      <c r="J89" s="85" t="s">
        <v>81</v>
      </c>
      <c r="K89" s="34"/>
      <c r="L89" s="35"/>
      <c r="M89" s="35"/>
      <c r="N89" s="35"/>
      <c r="O89" s="35"/>
      <c r="P89" s="35"/>
      <c r="Q89" s="35"/>
      <c r="R89" s="35"/>
      <c r="S89" s="35"/>
      <c r="T89" s="36"/>
      <c r="AD89" t="s">
        <v>23</v>
      </c>
      <c r="AE89" s="53">
        <f>$I$86*(L88/100)*(U52/100)</f>
        <v>68.327471909236692</v>
      </c>
      <c r="AF89" s="53">
        <f t="shared" ref="AF89:AM89" si="145">$I$86*(M88/100)*(V52/100)</f>
        <v>111.6340674067384</v>
      </c>
      <c r="AG89" s="53">
        <f t="shared" si="145"/>
        <v>29.886519920450134</v>
      </c>
      <c r="AH89" s="53">
        <f t="shared" si="145"/>
        <v>45.521805436553947</v>
      </c>
      <c r="AI89" s="53">
        <f t="shared" si="145"/>
        <v>59.640019385424182</v>
      </c>
      <c r="AJ89" s="53">
        <f t="shared" si="145"/>
        <v>61.309777521100841</v>
      </c>
      <c r="AK89" s="53">
        <f t="shared" si="145"/>
        <v>74.29064829920695</v>
      </c>
      <c r="AL89" s="53">
        <f t="shared" si="145"/>
        <v>59.160809706957842</v>
      </c>
      <c r="AM89" s="53">
        <f t="shared" si="145"/>
        <v>54.316562054618011</v>
      </c>
      <c r="AN89" s="53">
        <f t="shared" si="143"/>
        <v>564.08768164028697</v>
      </c>
      <c r="AO89" s="15"/>
      <c r="AP89" t="s">
        <v>23</v>
      </c>
      <c r="AQ89" s="15">
        <f>$I$86*(L88/100)*(((U52/100)+((U67*1.3333)/100)))</f>
        <v>109.35551588355145</v>
      </c>
      <c r="AR89" s="15">
        <f t="shared" ref="AR89:AY89" si="146">$I$86*(M88/100)*(((V52/100)+((V67*1.3333)/100)))</f>
        <v>133.25579761536284</v>
      </c>
      <c r="AS89" s="15">
        <f t="shared" si="146"/>
        <v>30.429011054593136</v>
      </c>
      <c r="AT89" s="15">
        <f t="shared" si="146"/>
        <v>60.010423806525942</v>
      </c>
      <c r="AU89" s="15">
        <f t="shared" si="146"/>
        <v>73.201120378018416</v>
      </c>
      <c r="AV89" s="15">
        <f t="shared" si="146"/>
        <v>69.206748184776131</v>
      </c>
      <c r="AW89" s="15">
        <f t="shared" si="146"/>
        <v>88.587871264265019</v>
      </c>
      <c r="AX89" s="15">
        <f t="shared" si="146"/>
        <v>55.628977800412414</v>
      </c>
      <c r="AY89" s="15">
        <f t="shared" si="146"/>
        <v>66.887577758060985</v>
      </c>
      <c r="AZ89" s="15">
        <f t="shared" ref="AZ89:AZ91" si="147">SUM(AQ89:AY89)</f>
        <v>686.56304374556623</v>
      </c>
      <c r="BB89" s="15"/>
      <c r="BC89" s="15"/>
      <c r="BD89" s="15"/>
      <c r="BE89" s="15"/>
      <c r="BF89" s="15"/>
      <c r="BG89" s="15"/>
      <c r="BH89" s="15"/>
      <c r="BI89" s="15"/>
      <c r="BJ89" s="15"/>
      <c r="BK89" s="15"/>
    </row>
    <row r="90" spans="6:63" x14ac:dyDescent="0.25">
      <c r="F90" s="15"/>
      <c r="H90" s="85" t="s">
        <v>22</v>
      </c>
      <c r="I90" s="86">
        <f>AN100</f>
        <v>1191.652757676929</v>
      </c>
      <c r="J90" s="86">
        <f>AZ100</f>
        <v>814.93964289411156</v>
      </c>
      <c r="K90" s="34"/>
      <c r="L90" s="35"/>
      <c r="M90" s="35"/>
      <c r="N90" s="35"/>
      <c r="O90" s="35"/>
      <c r="P90" s="35"/>
      <c r="Q90" s="35"/>
      <c r="R90" s="35"/>
      <c r="S90" s="35"/>
      <c r="T90" s="36"/>
      <c r="AD90" t="s">
        <v>24</v>
      </c>
      <c r="AE90" s="53">
        <f>$I$86*(L88/100)*(U53/100)</f>
        <v>39.703801244556459</v>
      </c>
      <c r="AF90" s="53">
        <f t="shared" ref="AF90:AM90" si="148">$I$86*(M88/100)*(V53/100)</f>
        <v>97.241576071654777</v>
      </c>
      <c r="AG90" s="53">
        <f t="shared" si="148"/>
        <v>21.872257595413231</v>
      </c>
      <c r="AH90" s="53">
        <f t="shared" si="148"/>
        <v>29.518045712765449</v>
      </c>
      <c r="AI90" s="53">
        <f t="shared" si="148"/>
        <v>53.810543806397767</v>
      </c>
      <c r="AJ90" s="53">
        <f t="shared" si="148"/>
        <v>57.772674971806559</v>
      </c>
      <c r="AK90" s="53">
        <f t="shared" si="148"/>
        <v>61.213268261518849</v>
      </c>
      <c r="AL90" s="53">
        <f t="shared" si="148"/>
        <v>48.082006391048132</v>
      </c>
      <c r="AM90" s="53">
        <f t="shared" si="148"/>
        <v>47.479512285505251</v>
      </c>
      <c r="AN90" s="53">
        <f t="shared" si="143"/>
        <v>456.69368634066655</v>
      </c>
      <c r="AO90" s="15"/>
      <c r="AP90" t="s">
        <v>24</v>
      </c>
      <c r="AQ90" s="15">
        <f>$I$86*(L88/100)*(((U53/100)+((U68*1.3333)/100)))</f>
        <v>52.532676131060114</v>
      </c>
      <c r="AR90" s="15">
        <f t="shared" ref="AR90:AY90" si="149">$I$86*(M88/100)*(((V53/100)+((V68*1.3333)/100)))</f>
        <v>124.60044641438905</v>
      </c>
      <c r="AS90" s="15">
        <f t="shared" si="149"/>
        <v>29.416675415691454</v>
      </c>
      <c r="AT90" s="15">
        <f t="shared" si="149"/>
        <v>44.345554738149062</v>
      </c>
      <c r="AU90" s="15">
        <f t="shared" si="149"/>
        <v>84.17139717076715</v>
      </c>
      <c r="AV90" s="15">
        <f t="shared" si="149"/>
        <v>84.512292430255258</v>
      </c>
      <c r="AW90" s="15">
        <f t="shared" si="149"/>
        <v>86.692822483614862</v>
      </c>
      <c r="AX90" s="15">
        <f t="shared" si="149"/>
        <v>69.111299870342989</v>
      </c>
      <c r="AY90" s="15">
        <f t="shared" si="149"/>
        <v>48.129255634103643</v>
      </c>
      <c r="AZ90" s="15">
        <f t="shared" si="147"/>
        <v>623.51242028837351</v>
      </c>
      <c r="BB90" s="15"/>
      <c r="BC90" s="15"/>
      <c r="BD90" s="15"/>
      <c r="BE90" s="15"/>
      <c r="BF90" s="15"/>
      <c r="BG90" s="15"/>
      <c r="BH90" s="15"/>
      <c r="BI90" s="15"/>
      <c r="BJ90" s="15"/>
      <c r="BK90" s="15"/>
    </row>
    <row r="91" spans="6:63" ht="15.75" thickBot="1" x14ac:dyDescent="0.3">
      <c r="F91" s="15"/>
      <c r="H91" s="85" t="s">
        <v>23</v>
      </c>
      <c r="I91" s="86">
        <f t="shared" ref="I91:I94" si="150">AN101</f>
        <v>1453.9220160542059</v>
      </c>
      <c r="J91" s="86">
        <f t="shared" ref="J91:J94" si="151">AZ101</f>
        <v>1656.6096596695622</v>
      </c>
      <c r="K91" s="37"/>
      <c r="L91" s="38"/>
      <c r="M91" s="38"/>
      <c r="N91" s="38"/>
      <c r="O91" s="38"/>
      <c r="P91" s="38"/>
      <c r="Q91" s="38"/>
      <c r="R91" s="38"/>
      <c r="S91" s="38"/>
      <c r="T91" s="39"/>
      <c r="AD91" t="s">
        <v>25</v>
      </c>
      <c r="AE91" s="53">
        <f>$I$86*(L88/100)*(U54/100)</f>
        <v>28.4390018216823</v>
      </c>
      <c r="AF91" s="53">
        <f t="shared" ref="AF91:AM91" si="152">$I$86*(M88/100)*(V54/100)</f>
        <v>73.069571393501505</v>
      </c>
      <c r="AG91" s="53">
        <f t="shared" si="152"/>
        <v>10.685683100049213</v>
      </c>
      <c r="AH91" s="53">
        <f t="shared" si="152"/>
        <v>12.980827331517336</v>
      </c>
      <c r="AI91" s="53">
        <f t="shared" si="152"/>
        <v>17.040005538692629</v>
      </c>
      <c r="AJ91" s="53">
        <f t="shared" si="152"/>
        <v>23.875442207736388</v>
      </c>
      <c r="AK91" s="53">
        <f t="shared" si="152"/>
        <v>25.598275818453335</v>
      </c>
      <c r="AL91" s="53">
        <f t="shared" si="152"/>
        <v>19.941845968637473</v>
      </c>
      <c r="AM91" s="53">
        <f t="shared" si="152"/>
        <v>19.751477110770182</v>
      </c>
      <c r="AN91" s="53">
        <f t="shared" si="143"/>
        <v>231.38213029104037</v>
      </c>
      <c r="AO91" s="15"/>
      <c r="AP91" t="s">
        <v>25</v>
      </c>
      <c r="AQ91" s="15">
        <f>$I$86*(L88/100)*(((U54/100)+((U69*1.3333)/100)))</f>
        <v>22.262611233905012</v>
      </c>
      <c r="AR91" s="15">
        <f t="shared" ref="AR91:AY91" si="153">$I$86*(M88/100)*(((V54/100)+((V69*1.3333)/100)))</f>
        <v>89.128886634464735</v>
      </c>
      <c r="AS91" s="15">
        <f t="shared" si="153"/>
        <v>18.600398986244816</v>
      </c>
      <c r="AT91" s="15">
        <f t="shared" si="153"/>
        <v>14.886296139767612</v>
      </c>
      <c r="AU91" s="15">
        <f t="shared" si="153"/>
        <v>16.049434943238367</v>
      </c>
      <c r="AV91" s="15">
        <f t="shared" si="153"/>
        <v>25.807186011631813</v>
      </c>
      <c r="AW91" s="15">
        <f t="shared" si="153"/>
        <v>33.678373039614932</v>
      </c>
      <c r="AX91" s="15">
        <f t="shared" si="153"/>
        <v>30.422716480350044</v>
      </c>
      <c r="AY91" s="15">
        <f t="shared" si="153"/>
        <v>23.642650361067854</v>
      </c>
      <c r="AZ91" s="15">
        <f t="shared" si="147"/>
        <v>274.47855383028519</v>
      </c>
      <c r="BB91" s="15"/>
      <c r="BC91" s="15"/>
      <c r="BD91" s="15"/>
      <c r="BE91" s="15"/>
      <c r="BF91" s="15"/>
      <c r="BG91" s="15"/>
      <c r="BH91" s="15"/>
      <c r="BI91" s="15"/>
      <c r="BJ91" s="15"/>
      <c r="BK91" s="15"/>
    </row>
    <row r="92" spans="6:63" ht="15.75" thickBot="1" x14ac:dyDescent="0.3">
      <c r="F92" s="15"/>
      <c r="H92" s="85" t="s">
        <v>24</v>
      </c>
      <c r="I92" s="86">
        <f t="shared" si="150"/>
        <v>1103.7482961040882</v>
      </c>
      <c r="J92" s="86">
        <f t="shared" si="151"/>
        <v>1452.2097497504124</v>
      </c>
      <c r="K92" s="148" t="s">
        <v>29</v>
      </c>
      <c r="L92" s="149"/>
      <c r="M92" s="149"/>
      <c r="N92" s="149"/>
      <c r="O92" s="149"/>
      <c r="P92" s="149"/>
      <c r="Q92" s="149"/>
      <c r="R92" s="149"/>
      <c r="S92" s="149"/>
      <c r="T92" s="150"/>
      <c r="AD92" s="146" t="s">
        <v>29</v>
      </c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5"/>
      <c r="AP92" s="146" t="s">
        <v>29</v>
      </c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</row>
    <row r="93" spans="6:63" x14ac:dyDescent="0.25">
      <c r="F93" s="15"/>
      <c r="H93" s="85" t="s">
        <v>25</v>
      </c>
      <c r="I93" s="86">
        <f t="shared" si="150"/>
        <v>592.19378023066406</v>
      </c>
      <c r="J93" s="86">
        <f t="shared" si="151"/>
        <v>686.4059745880063</v>
      </c>
      <c r="K93" s="31" t="s">
        <v>61</v>
      </c>
      <c r="L93" s="40" t="s">
        <v>8</v>
      </c>
      <c r="M93" s="40" t="s">
        <v>9</v>
      </c>
      <c r="N93" s="40" t="s">
        <v>10</v>
      </c>
      <c r="O93" s="40" t="s">
        <v>11</v>
      </c>
      <c r="P93" s="40" t="s">
        <v>12</v>
      </c>
      <c r="Q93" s="40" t="s">
        <v>13</v>
      </c>
      <c r="R93" s="40" t="s">
        <v>14</v>
      </c>
      <c r="S93" s="40" t="s">
        <v>15</v>
      </c>
      <c r="T93" s="41" t="s">
        <v>16</v>
      </c>
      <c r="AE93" t="s">
        <v>8</v>
      </c>
      <c r="AF93" t="s">
        <v>9</v>
      </c>
      <c r="AG93" t="s">
        <v>10</v>
      </c>
      <c r="AH93" t="s">
        <v>11</v>
      </c>
      <c r="AI93" t="s">
        <v>12</v>
      </c>
      <c r="AJ93" t="s">
        <v>13</v>
      </c>
      <c r="AK93" t="s">
        <v>14</v>
      </c>
      <c r="AL93" t="s">
        <v>15</v>
      </c>
      <c r="AM93" t="s">
        <v>16</v>
      </c>
      <c r="AN93" t="s">
        <v>61</v>
      </c>
      <c r="AO93" s="15"/>
      <c r="AQ93" t="s">
        <v>8</v>
      </c>
      <c r="AR93" t="s">
        <v>9</v>
      </c>
      <c r="AS93" t="s">
        <v>10</v>
      </c>
      <c r="AT93" t="s">
        <v>11</v>
      </c>
      <c r="AU93" t="s">
        <v>12</v>
      </c>
      <c r="AV93" t="s">
        <v>13</v>
      </c>
      <c r="AW93" t="s">
        <v>14</v>
      </c>
      <c r="AX93" t="s">
        <v>15</v>
      </c>
      <c r="AY93" t="s">
        <v>16</v>
      </c>
      <c r="AZ93" t="s">
        <v>61</v>
      </c>
    </row>
    <row r="94" spans="6:63" x14ac:dyDescent="0.25">
      <c r="F94" s="15"/>
      <c r="H94" s="85" t="s">
        <v>73</v>
      </c>
      <c r="I94" s="86">
        <f t="shared" si="150"/>
        <v>4341.5168500658874</v>
      </c>
      <c r="J94" s="86">
        <f t="shared" si="151"/>
        <v>4610.165026902092</v>
      </c>
      <c r="K94" s="34">
        <v>50.540600154987011</v>
      </c>
      <c r="L94" s="35">
        <v>8.6510079035566978</v>
      </c>
      <c r="M94" s="35">
        <v>26.179687332251934</v>
      </c>
      <c r="N94" s="35">
        <v>3.0197091163202883</v>
      </c>
      <c r="O94" s="35">
        <v>3.1379989498361316</v>
      </c>
      <c r="P94" s="35">
        <v>3.3046978241307352</v>
      </c>
      <c r="Q94" s="35">
        <v>2.8215834050685045</v>
      </c>
      <c r="R94" s="35">
        <v>1.8247085209671658</v>
      </c>
      <c r="S94" s="35">
        <v>0.9898477652786154</v>
      </c>
      <c r="T94" s="36">
        <v>0.61135933757693228</v>
      </c>
      <c r="AD94" t="s">
        <v>22</v>
      </c>
      <c r="AE94" s="15">
        <f>I86*(L94/100)*(U57/100)</f>
        <v>55.709275070418627</v>
      </c>
      <c r="AF94" s="15">
        <f>I86*(M94/100)*(V57/100)</f>
        <v>75.969894994986291</v>
      </c>
      <c r="AG94" s="15">
        <f>I86*(N94/100)*(W57/100)</f>
        <v>23.012797465404265</v>
      </c>
      <c r="AH94" s="15">
        <f>I86*(O94/100)*(X57/100)</f>
        <v>37.124498699069925</v>
      </c>
      <c r="AI94" s="15">
        <f>I86*(P94/100)*(Y57/100)</f>
        <v>66.229928441579005</v>
      </c>
      <c r="AJ94" s="15">
        <f>I86*(Q94/100)*(Z57/100)</f>
        <v>130.48093480876301</v>
      </c>
      <c r="AK94" s="15">
        <f>I86*(R94/100)*(AA57/100)</f>
        <v>168.44856303356758</v>
      </c>
      <c r="AL94" s="15">
        <f>I86*(S94/100)*(AB57/100)</f>
        <v>121.5607589527766</v>
      </c>
      <c r="AM94" s="15">
        <f>I86*(T94/100)*(AC57/100)</f>
        <v>72.065328029183803</v>
      </c>
      <c r="AN94" s="15">
        <f>SUM(AE94:AM94)</f>
        <v>750.60197949574911</v>
      </c>
      <c r="AO94" s="15"/>
      <c r="AP94" t="s">
        <v>22</v>
      </c>
      <c r="AQ94" s="15">
        <f>$I$86*(L94/100)*(((U57/100)+(U72*1.3333)/100))</f>
        <v>72.129768116056965</v>
      </c>
      <c r="AR94" s="15">
        <f t="shared" ref="AR94:AY94" si="154">$I$86*(M94/100)*(((V57/100)+(V72*1.3333)/100))</f>
        <v>79.81912614366027</v>
      </c>
      <c r="AS94" s="15">
        <f t="shared" si="154"/>
        <v>11.88032548086751</v>
      </c>
      <c r="AT94" s="15">
        <f t="shared" si="154"/>
        <v>24.503968586893713</v>
      </c>
      <c r="AU94" s="15">
        <f t="shared" si="154"/>
        <v>31.24400944899147</v>
      </c>
      <c r="AV94" s="15">
        <f t="shared" si="154"/>
        <v>68.864272618277354</v>
      </c>
      <c r="AW94" s="15">
        <f t="shared" si="154"/>
        <v>87.759831526412015</v>
      </c>
      <c r="AX94" s="15">
        <f t="shared" si="154"/>
        <v>33.311607700439744</v>
      </c>
      <c r="AY94" s="15">
        <f t="shared" si="154"/>
        <v>37.392797675686246</v>
      </c>
      <c r="AZ94" s="15">
        <f>SUM(AQ94:AY94)</f>
        <v>446.90570729728535</v>
      </c>
      <c r="BB94" s="15"/>
      <c r="BC94" s="15"/>
      <c r="BD94" s="15"/>
      <c r="BE94" s="15"/>
      <c r="BF94" s="15"/>
      <c r="BG94" s="15"/>
      <c r="BH94" s="15"/>
      <c r="BI94" s="15"/>
      <c r="BJ94" s="15"/>
      <c r="BK94" s="15"/>
    </row>
    <row r="95" spans="6:63" x14ac:dyDescent="0.25">
      <c r="K95" s="34"/>
      <c r="L95" s="35"/>
      <c r="M95" s="35"/>
      <c r="N95" s="35"/>
      <c r="O95" s="35"/>
      <c r="P95" s="35"/>
      <c r="Q95" s="35"/>
      <c r="R95" s="35"/>
      <c r="S95" s="35"/>
      <c r="T95" s="36"/>
      <c r="AD95" t="s">
        <v>23</v>
      </c>
      <c r="AE95" s="15">
        <f>I86*(L94/100)*(U58/100)</f>
        <v>35.78675285980534</v>
      </c>
      <c r="AF95" s="15">
        <f>I86*(M94/100)*(V58/100)</f>
        <v>84.721328977251886</v>
      </c>
      <c r="AG95" s="15">
        <f>I86*(N94/100)*(W58/100)</f>
        <v>26.489551039314261</v>
      </c>
      <c r="AH95" s="15">
        <f>I86*(O94/100)*(X58/100)</f>
        <v>43.196262504992575</v>
      </c>
      <c r="AI95" s="15">
        <f>I86*(P94/100)*(Y58/100)</f>
        <v>74.693817060311133</v>
      </c>
      <c r="AJ95" s="15">
        <f>I86*(Q94/100)*(Z58/100)</f>
        <v>136.69431265679935</v>
      </c>
      <c r="AK95" s="15">
        <f>I86*(R94/100)*(AA58/100)</f>
        <v>179.2858132427202</v>
      </c>
      <c r="AL95" s="15">
        <f>I86*(S94/100)*(AB58/100)</f>
        <v>174.46400124902496</v>
      </c>
      <c r="AM95" s="15">
        <f>I86*(T94/100)*(AC58/100)</f>
        <v>134.50249482369932</v>
      </c>
      <c r="AN95" s="15">
        <f t="shared" ref="AN95:AN97" si="155">SUM(AE95:AM95)</f>
        <v>889.83433441391901</v>
      </c>
      <c r="AO95" s="15"/>
      <c r="AP95" t="s">
        <v>23</v>
      </c>
      <c r="AQ95" s="15">
        <f>$I$86*(L94/100)*(((U58/100)+(U73*1.3333)/100))</f>
        <v>58.705508988176305</v>
      </c>
      <c r="AR95" s="15">
        <f t="shared" ref="AR95:AY95" si="156">$I$86*(M94/100)*(((V58/100)+(V73*1.3333)/100))</f>
        <v>104.68929697542934</v>
      </c>
      <c r="AS95" s="15">
        <f t="shared" si="156"/>
        <v>33.433310080816078</v>
      </c>
      <c r="AT95" s="15">
        <f t="shared" si="156"/>
        <v>56.075139966619403</v>
      </c>
      <c r="AU95" s="15">
        <f t="shared" si="156"/>
        <v>87.209321272054211</v>
      </c>
      <c r="AV95" s="15">
        <f t="shared" si="156"/>
        <v>148.84456585294663</v>
      </c>
      <c r="AW95" s="15">
        <f t="shared" si="156"/>
        <v>175.77116853432821</v>
      </c>
      <c r="AX95" s="15">
        <f t="shared" si="156"/>
        <v>181.29251855459697</v>
      </c>
      <c r="AY95" s="15">
        <f t="shared" si="156"/>
        <v>124.02578569902877</v>
      </c>
      <c r="AZ95" s="15">
        <f t="shared" ref="AZ95:AZ97" si="157">SUM(AQ95:AY95)</f>
        <v>970.046615923996</v>
      </c>
      <c r="BB95" s="15"/>
      <c r="BC95" s="15"/>
      <c r="BD95" s="15"/>
      <c r="BE95" s="15"/>
      <c r="BF95" s="15"/>
      <c r="BG95" s="15"/>
      <c r="BH95" s="15"/>
      <c r="BI95" s="15"/>
      <c r="BJ95" s="15"/>
      <c r="BK95" s="15"/>
    </row>
    <row r="96" spans="6:63" x14ac:dyDescent="0.25">
      <c r="K96" s="34"/>
      <c r="L96" s="35"/>
      <c r="M96" s="35"/>
      <c r="N96" s="35"/>
      <c r="O96" s="35"/>
      <c r="P96" s="35"/>
      <c r="Q96" s="35"/>
      <c r="R96" s="35"/>
      <c r="S96" s="35"/>
      <c r="T96" s="36"/>
      <c r="AD96" t="s">
        <v>24</v>
      </c>
      <c r="AE96" s="15">
        <f>I86*(L94/100)*(U59/100)</f>
        <v>17.339973035163414</v>
      </c>
      <c r="AF96" s="15">
        <f>I86*(M94/100)*(V59/100)</f>
        <v>65.170253059424525</v>
      </c>
      <c r="AG96" s="15">
        <f>I86*(N94/100)*(W59/100)</f>
        <v>15.893730623588555</v>
      </c>
      <c r="AH96" s="15">
        <f>I86*(O94/100)*(X59/100)</f>
        <v>26.021844882525645</v>
      </c>
      <c r="AI96" s="15">
        <f>I86*(P94/100)*(Y59/100)</f>
        <v>49.725345635051326</v>
      </c>
      <c r="AJ96" s="15">
        <f>I86*(Q94/100)*(Z59/100)</f>
        <v>80.233618298556138</v>
      </c>
      <c r="AK96" s="15">
        <f>I86*(R94/100)*(AA59/100)</f>
        <v>118.03179032142286</v>
      </c>
      <c r="AL96" s="15">
        <f>I86*(S94/100)*(AB59/100)</f>
        <v>134.59207231251423</v>
      </c>
      <c r="AM96" s="15">
        <f>I86*(T94/100)*(AC59/100)</f>
        <v>140.04598159517502</v>
      </c>
      <c r="AN96" s="15">
        <f t="shared" si="155"/>
        <v>647.05460976342169</v>
      </c>
      <c r="AO96" s="15"/>
      <c r="AP96" t="s">
        <v>24</v>
      </c>
      <c r="AQ96" s="15">
        <f>$I$86*(L94/100)*(((U59/100)+(U74*1.3333)/100))</f>
        <v>13.910404792862005</v>
      </c>
      <c r="AR96" s="15">
        <f t="shared" ref="AR96:AY96" si="158">$I$86*(M94/100)*(((V59/100)+(V74*1.3333)/100))</f>
        <v>81.088786934740824</v>
      </c>
      <c r="AS96" s="15">
        <f t="shared" si="158"/>
        <v>21.724069680082753</v>
      </c>
      <c r="AT96" s="15">
        <f t="shared" si="158"/>
        <v>35.280265053938535</v>
      </c>
      <c r="AU96" s="15">
        <f t="shared" si="158"/>
        <v>70.560857267509363</v>
      </c>
      <c r="AV96" s="15">
        <f t="shared" si="158"/>
        <v>96.888248194164419</v>
      </c>
      <c r="AW96" s="15">
        <f t="shared" si="158"/>
        <v>150.263003236608</v>
      </c>
      <c r="AX96" s="15">
        <f t="shared" si="158"/>
        <v>172.00815601678187</v>
      </c>
      <c r="AY96" s="15">
        <f t="shared" si="158"/>
        <v>186.9735382853512</v>
      </c>
      <c r="AZ96" s="15">
        <f t="shared" si="157"/>
        <v>828.69732946203897</v>
      </c>
      <c r="BB96" s="15"/>
      <c r="BC96" s="15"/>
      <c r="BD96" s="15"/>
      <c r="BE96" s="15"/>
      <c r="BF96" s="15"/>
      <c r="BG96" s="15"/>
      <c r="BH96" s="15"/>
      <c r="BI96" s="15"/>
      <c r="BJ96" s="15"/>
      <c r="BK96" s="15"/>
    </row>
    <row r="97" spans="8:63" ht="15.75" thickBot="1" x14ac:dyDescent="0.3">
      <c r="K97" s="37"/>
      <c r="L97" s="38"/>
      <c r="M97" s="38"/>
      <c r="N97" s="38"/>
      <c r="O97" s="38"/>
      <c r="P97" s="38"/>
      <c r="Q97" s="38"/>
      <c r="R97" s="38"/>
      <c r="S97" s="38"/>
      <c r="T97" s="39"/>
      <c r="AD97" t="s">
        <v>25</v>
      </c>
      <c r="AE97" s="15">
        <f>I86*(L94/100)*(U60/100)</f>
        <v>16.602101842177735</v>
      </c>
      <c r="AF97" s="15">
        <f>I86*(M94/100)*(V60/100)</f>
        <v>48.039786540947226</v>
      </c>
      <c r="AG97" s="15">
        <f>I86*(N94/100)*(W60/100)</f>
        <v>7.4501862298071364</v>
      </c>
      <c r="AH97" s="15">
        <f>I86*(O94/100)*(X60/100)</f>
        <v>9.1943851918257291</v>
      </c>
      <c r="AI97" s="15">
        <f>I86*(P94/100)*(Y60/100)</f>
        <v>17.350971668400884</v>
      </c>
      <c r="AJ97" s="15">
        <f>I86*(Q94/100)*(Z60/100)</f>
        <v>31.607182966097877</v>
      </c>
      <c r="AK97" s="15">
        <f>I86*(R94/100)*(AA60/100)</f>
        <v>56.777767400125569</v>
      </c>
      <c r="AL97" s="15">
        <f>I86*(S94/100)*(AB60/100)</f>
        <v>68.463019442203773</v>
      </c>
      <c r="AM97" s="15">
        <f>I86*(T94/100)*(AC60/100)</f>
        <v>105.32624865803785</v>
      </c>
      <c r="AN97" s="15">
        <f t="shared" si="155"/>
        <v>360.81164993962375</v>
      </c>
      <c r="AO97" s="15"/>
      <c r="AP97" t="s">
        <v>25</v>
      </c>
      <c r="AQ97" s="15">
        <f>$I$86*(L94/100)*(((U60/100)+(U75*1.3333)/100))</f>
        <v>7.930878778537938</v>
      </c>
      <c r="AR97" s="15">
        <f t="shared" ref="AR97:AY97" si="159">$I$86*(M94/100)*(((V60/100)+(V75*1.3333)/100))</f>
        <v>68.523671551967482</v>
      </c>
      <c r="AS97" s="15">
        <f t="shared" si="159"/>
        <v>10.556509759370583</v>
      </c>
      <c r="AT97" s="15">
        <f t="shared" si="159"/>
        <v>7.7978717456302773</v>
      </c>
      <c r="AU97" s="15">
        <f t="shared" si="159"/>
        <v>14.671119277908213</v>
      </c>
      <c r="AV97" s="15">
        <f t="shared" si="159"/>
        <v>35.3626773275071</v>
      </c>
      <c r="AW97" s="15">
        <f t="shared" si="159"/>
        <v>60.794100566255295</v>
      </c>
      <c r="AX97" s="15">
        <f t="shared" si="159"/>
        <v>72.007915479046588</v>
      </c>
      <c r="AY97" s="15">
        <f t="shared" si="159"/>
        <v>134.28267627149771</v>
      </c>
      <c r="AZ97" s="15">
        <f t="shared" si="157"/>
        <v>411.92742075772117</v>
      </c>
      <c r="BB97" s="15"/>
      <c r="BC97" s="15"/>
      <c r="BD97" s="15"/>
      <c r="BE97" s="15"/>
      <c r="BF97" s="15"/>
      <c r="BG97" s="15"/>
      <c r="BH97" s="15"/>
      <c r="BI97" s="15"/>
      <c r="BJ97" s="15"/>
      <c r="BK97" s="15"/>
    </row>
    <row r="98" spans="8:63" x14ac:dyDescent="0.25">
      <c r="AD98" s="146" t="s">
        <v>73</v>
      </c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5"/>
      <c r="AP98" s="146" t="s">
        <v>73</v>
      </c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</row>
    <row r="99" spans="8:63" x14ac:dyDescent="0.25">
      <c r="AE99" t="s">
        <v>8</v>
      </c>
      <c r="AF99" t="s">
        <v>9</v>
      </c>
      <c r="AG99" t="s">
        <v>10</v>
      </c>
      <c r="AH99" t="s">
        <v>11</v>
      </c>
      <c r="AI99" t="s">
        <v>12</v>
      </c>
      <c r="AJ99" t="s">
        <v>13</v>
      </c>
      <c r="AK99" t="s">
        <v>14</v>
      </c>
      <c r="AL99" t="s">
        <v>15</v>
      </c>
      <c r="AM99" t="s">
        <v>16</v>
      </c>
      <c r="AN99" t="s">
        <v>61</v>
      </c>
      <c r="AO99" s="15"/>
      <c r="AQ99" t="s">
        <v>8</v>
      </c>
      <c r="AR99" t="s">
        <v>9</v>
      </c>
      <c r="AS99" t="s">
        <v>10</v>
      </c>
      <c r="AT99" t="s">
        <v>11</v>
      </c>
      <c r="AU99" t="s">
        <v>12</v>
      </c>
      <c r="AV99" t="s">
        <v>13</v>
      </c>
      <c r="AW99" t="s">
        <v>14</v>
      </c>
      <c r="AX99" t="s">
        <v>15</v>
      </c>
      <c r="AY99" t="s">
        <v>16</v>
      </c>
      <c r="AZ99" t="s">
        <v>61</v>
      </c>
    </row>
    <row r="100" spans="8:63" x14ac:dyDescent="0.25">
      <c r="AD100" t="s">
        <v>22</v>
      </c>
      <c r="AE100" s="15">
        <f>AE88+AE94</f>
        <v>136.22489061751918</v>
      </c>
      <c r="AF100" s="15">
        <f t="shared" ref="AF100:AN100" si="160">AF88+AF94</f>
        <v>162.50936212516862</v>
      </c>
      <c r="AG100" s="15">
        <f t="shared" si="160"/>
        <v>46.387729246761921</v>
      </c>
      <c r="AH100" s="15">
        <f t="shared" si="160"/>
        <v>70.73239411902577</v>
      </c>
      <c r="AI100" s="15">
        <f t="shared" si="160"/>
        <v>107.48467869315063</v>
      </c>
      <c r="AJ100" s="15">
        <f t="shared" si="160"/>
        <v>184.42174868550077</v>
      </c>
      <c r="AK100" s="15">
        <f t="shared" si="160"/>
        <v>223.54050446893456</v>
      </c>
      <c r="AL100" s="15">
        <f t="shared" si="160"/>
        <v>157.89923382896043</v>
      </c>
      <c r="AM100" s="15">
        <f t="shared" si="160"/>
        <v>102.45221589190716</v>
      </c>
      <c r="AN100" s="15">
        <f t="shared" si="160"/>
        <v>1191.652757676929</v>
      </c>
      <c r="AO100" s="15"/>
      <c r="AP100" t="s">
        <v>22</v>
      </c>
      <c r="AQ100" s="15">
        <f>AQ88+AQ94</f>
        <v>177.78749304449829</v>
      </c>
      <c r="AR100" s="15">
        <f t="shared" ref="AR100:AZ100" si="161">AR88+AR94</f>
        <v>175.68582873379066</v>
      </c>
      <c r="AS100" s="15">
        <f t="shared" si="161"/>
        <v>28.426021459709261</v>
      </c>
      <c r="AT100" s="15">
        <f t="shared" si="161"/>
        <v>52.722589192060475</v>
      </c>
      <c r="AU100" s="15">
        <f t="shared" si="161"/>
        <v>74.479514073460692</v>
      </c>
      <c r="AV100" s="15">
        <f t="shared" si="161"/>
        <v>107.73853133380194</v>
      </c>
      <c r="AW100" s="15">
        <f t="shared" si="161"/>
        <v>115.40764608198877</v>
      </c>
      <c r="AX100" s="15">
        <f t="shared" si="161"/>
        <v>33.311607700439744</v>
      </c>
      <c r="AY100" s="15">
        <f t="shared" si="161"/>
        <v>49.380411274361606</v>
      </c>
      <c r="AZ100" s="15">
        <f t="shared" si="161"/>
        <v>814.93964289411156</v>
      </c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</row>
    <row r="101" spans="8:63" x14ac:dyDescent="0.25">
      <c r="AD101" t="s">
        <v>23</v>
      </c>
      <c r="AE101" s="15">
        <f t="shared" ref="AE101:AN103" si="162">AE89+AE95</f>
        <v>104.11422476904204</v>
      </c>
      <c r="AF101" s="15">
        <f t="shared" si="162"/>
        <v>196.3553963839903</v>
      </c>
      <c r="AG101" s="15">
        <f t="shared" si="162"/>
        <v>56.376070959764391</v>
      </c>
      <c r="AH101" s="15">
        <f t="shared" si="162"/>
        <v>88.718067941546522</v>
      </c>
      <c r="AI101" s="15">
        <f t="shared" si="162"/>
        <v>134.3338364457353</v>
      </c>
      <c r="AJ101" s="15">
        <f t="shared" si="162"/>
        <v>198.0040901779002</v>
      </c>
      <c r="AK101" s="15">
        <f t="shared" si="162"/>
        <v>253.57646154192713</v>
      </c>
      <c r="AL101" s="15">
        <f t="shared" si="162"/>
        <v>233.62481095598281</v>
      </c>
      <c r="AM101" s="15">
        <f t="shared" si="162"/>
        <v>188.81905687831733</v>
      </c>
      <c r="AN101" s="15">
        <f t="shared" si="162"/>
        <v>1453.9220160542059</v>
      </c>
      <c r="AO101" s="15"/>
      <c r="AP101" t="s">
        <v>23</v>
      </c>
      <c r="AQ101" s="15">
        <f t="shared" ref="AQ101:AZ103" si="163">AQ89+AQ95</f>
        <v>168.06102487172774</v>
      </c>
      <c r="AR101" s="15">
        <f t="shared" si="163"/>
        <v>237.94509459079217</v>
      </c>
      <c r="AS101" s="15">
        <f t="shared" si="163"/>
        <v>63.862321135409218</v>
      </c>
      <c r="AT101" s="15">
        <f t="shared" si="163"/>
        <v>116.08556377314534</v>
      </c>
      <c r="AU101" s="15">
        <f t="shared" si="163"/>
        <v>160.41044165007264</v>
      </c>
      <c r="AV101" s="15">
        <f t="shared" si="163"/>
        <v>218.05131403772276</v>
      </c>
      <c r="AW101" s="15">
        <f t="shared" si="163"/>
        <v>264.35903979859324</v>
      </c>
      <c r="AX101" s="15">
        <f t="shared" si="163"/>
        <v>236.92149635500937</v>
      </c>
      <c r="AY101" s="15">
        <f t="shared" si="163"/>
        <v>190.91336345708976</v>
      </c>
      <c r="AZ101" s="15">
        <f t="shared" si="163"/>
        <v>1656.6096596695622</v>
      </c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</row>
    <row r="102" spans="8:63" x14ac:dyDescent="0.25">
      <c r="AD102" t="s">
        <v>24</v>
      </c>
      <c r="AE102" s="15">
        <f t="shared" si="162"/>
        <v>57.043774279719869</v>
      </c>
      <c r="AF102" s="15">
        <f t="shared" si="162"/>
        <v>162.41182913107929</v>
      </c>
      <c r="AG102" s="15">
        <f t="shared" si="162"/>
        <v>37.765988219001784</v>
      </c>
      <c r="AH102" s="15">
        <f t="shared" si="162"/>
        <v>55.539890595291098</v>
      </c>
      <c r="AI102" s="15">
        <f t="shared" si="162"/>
        <v>103.53588944144909</v>
      </c>
      <c r="AJ102" s="15">
        <f t="shared" si="162"/>
        <v>138.0062932703627</v>
      </c>
      <c r="AK102" s="15">
        <f t="shared" si="162"/>
        <v>179.24505858294171</v>
      </c>
      <c r="AL102" s="15">
        <f t="shared" si="162"/>
        <v>182.67407870356237</v>
      </c>
      <c r="AM102" s="15">
        <f t="shared" si="162"/>
        <v>187.52549388068027</v>
      </c>
      <c r="AN102" s="15">
        <f t="shared" si="162"/>
        <v>1103.7482961040882</v>
      </c>
      <c r="AO102" s="15"/>
      <c r="AP102" t="s">
        <v>24</v>
      </c>
      <c r="AQ102" s="15">
        <f t="shared" si="163"/>
        <v>66.443080923922125</v>
      </c>
      <c r="AR102" s="15">
        <f t="shared" si="163"/>
        <v>205.68923334912989</v>
      </c>
      <c r="AS102" s="15">
        <f t="shared" si="163"/>
        <v>51.140745095774207</v>
      </c>
      <c r="AT102" s="15">
        <f t="shared" si="163"/>
        <v>79.625819792087597</v>
      </c>
      <c r="AU102" s="15">
        <f t="shared" si="163"/>
        <v>154.73225443827653</v>
      </c>
      <c r="AV102" s="15">
        <f t="shared" si="163"/>
        <v>181.40054062441968</v>
      </c>
      <c r="AW102" s="15">
        <f t="shared" si="163"/>
        <v>236.95582572022286</v>
      </c>
      <c r="AX102" s="15">
        <f t="shared" si="163"/>
        <v>241.11945588712484</v>
      </c>
      <c r="AY102" s="15">
        <f t="shared" si="163"/>
        <v>235.10279391945483</v>
      </c>
      <c r="AZ102" s="15">
        <f t="shared" si="163"/>
        <v>1452.2097497504124</v>
      </c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</row>
    <row r="103" spans="8:63" x14ac:dyDescent="0.25">
      <c r="AD103" t="s">
        <v>25</v>
      </c>
      <c r="AE103" s="15">
        <f t="shared" si="162"/>
        <v>45.041103663860035</v>
      </c>
      <c r="AF103" s="15">
        <f t="shared" si="162"/>
        <v>121.10935793444872</v>
      </c>
      <c r="AG103" s="15">
        <f t="shared" si="162"/>
        <v>18.135869329856348</v>
      </c>
      <c r="AH103" s="15">
        <f t="shared" si="162"/>
        <v>22.175212523343063</v>
      </c>
      <c r="AI103" s="15">
        <f t="shared" si="162"/>
        <v>34.390977207093513</v>
      </c>
      <c r="AJ103" s="15">
        <f t="shared" si="162"/>
        <v>55.482625173834265</v>
      </c>
      <c r="AK103" s="15">
        <f t="shared" si="162"/>
        <v>82.3760432185789</v>
      </c>
      <c r="AL103" s="15">
        <f t="shared" si="162"/>
        <v>88.404865410841239</v>
      </c>
      <c r="AM103" s="15">
        <f t="shared" si="162"/>
        <v>125.07772576880804</v>
      </c>
      <c r="AN103" s="15">
        <f t="shared" si="162"/>
        <v>592.19378023066406</v>
      </c>
      <c r="AO103" s="15"/>
      <c r="AP103" t="s">
        <v>25</v>
      </c>
      <c r="AQ103" s="15">
        <f t="shared" si="163"/>
        <v>30.19349001244295</v>
      </c>
      <c r="AR103" s="15">
        <f t="shared" si="163"/>
        <v>157.6525581864322</v>
      </c>
      <c r="AS103" s="15">
        <f t="shared" si="163"/>
        <v>29.156908745615397</v>
      </c>
      <c r="AT103" s="15">
        <f t="shared" si="163"/>
        <v>22.684167885397891</v>
      </c>
      <c r="AU103" s="15">
        <f t="shared" si="163"/>
        <v>30.720554221146578</v>
      </c>
      <c r="AV103" s="15">
        <f t="shared" si="163"/>
        <v>61.169863339138914</v>
      </c>
      <c r="AW103" s="15">
        <f t="shared" si="163"/>
        <v>94.472473605870221</v>
      </c>
      <c r="AX103" s="15">
        <f t="shared" si="163"/>
        <v>102.43063195939664</v>
      </c>
      <c r="AY103" s="15">
        <f t="shared" si="163"/>
        <v>157.92532663256557</v>
      </c>
      <c r="AZ103" s="15">
        <f t="shared" si="163"/>
        <v>686.4059745880063</v>
      </c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</row>
    <row r="104" spans="8:63" x14ac:dyDescent="0.25">
      <c r="AD104" t="s">
        <v>73</v>
      </c>
      <c r="AE104" s="15">
        <f>SUM(AE100:AE103)</f>
        <v>342.42399333014112</v>
      </c>
      <c r="AF104" s="15">
        <f t="shared" ref="AF104:AN104" si="164">SUM(AF100:AF103)</f>
        <v>642.38594557468696</v>
      </c>
      <c r="AG104" s="15">
        <f t="shared" si="164"/>
        <v>158.66565775538444</v>
      </c>
      <c r="AH104" s="15">
        <f t="shared" si="164"/>
        <v>237.16556517920645</v>
      </c>
      <c r="AI104" s="15">
        <f t="shared" si="164"/>
        <v>379.74538178742847</v>
      </c>
      <c r="AJ104" s="15">
        <f t="shared" si="164"/>
        <v>575.91475730759794</v>
      </c>
      <c r="AK104" s="15">
        <f t="shared" si="164"/>
        <v>738.73806781238227</v>
      </c>
      <c r="AL104" s="15">
        <f t="shared" si="164"/>
        <v>662.60298889934688</v>
      </c>
      <c r="AM104" s="15">
        <f t="shared" si="164"/>
        <v>603.87449241971274</v>
      </c>
      <c r="AN104" s="15">
        <f t="shared" si="164"/>
        <v>4341.5168500658874</v>
      </c>
      <c r="AO104" s="15"/>
      <c r="AP104" t="s">
        <v>73</v>
      </c>
      <c r="AQ104" s="15">
        <f>SUM(AQ100:AQ103)</f>
        <v>442.4850888525911</v>
      </c>
      <c r="AR104" s="15">
        <f t="shared" ref="AR104:AZ104" si="165">SUM(AR100:AR103)</f>
        <v>776.97271486014495</v>
      </c>
      <c r="AS104" s="15">
        <f t="shared" si="165"/>
        <v>172.58599643650808</v>
      </c>
      <c r="AT104" s="15">
        <f t="shared" si="165"/>
        <v>271.11814064269129</v>
      </c>
      <c r="AU104" s="15">
        <f t="shared" si="165"/>
        <v>420.34276438295643</v>
      </c>
      <c r="AV104" s="15">
        <f t="shared" si="165"/>
        <v>568.36024933508338</v>
      </c>
      <c r="AW104" s="15">
        <f t="shared" si="165"/>
        <v>711.19498520667503</v>
      </c>
      <c r="AX104" s="15">
        <f t="shared" si="165"/>
        <v>613.78319190197067</v>
      </c>
      <c r="AY104" s="15">
        <f t="shared" si="165"/>
        <v>633.3218952834718</v>
      </c>
      <c r="AZ104" s="15">
        <f t="shared" si="165"/>
        <v>4610.165026902092</v>
      </c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</row>
    <row r="105" spans="8:63" x14ac:dyDescent="0.25">
      <c r="AO105" s="15"/>
    </row>
    <row r="106" spans="8:63" ht="15.75" thickBot="1" x14ac:dyDescent="0.3">
      <c r="AO106" s="15"/>
    </row>
    <row r="107" spans="8:63" ht="15.75" thickBot="1" x14ac:dyDescent="0.3">
      <c r="H107" t="s">
        <v>65</v>
      </c>
      <c r="K107" s="151" t="s">
        <v>75</v>
      </c>
      <c r="L107" s="152"/>
      <c r="M107" s="152"/>
      <c r="N107" s="152"/>
      <c r="O107" s="152"/>
      <c r="P107" s="152"/>
      <c r="Q107" s="152"/>
      <c r="R107" s="152"/>
      <c r="S107" s="152"/>
      <c r="T107" s="153"/>
      <c r="AD107" s="146" t="s">
        <v>78</v>
      </c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P107" s="146" t="s">
        <v>82</v>
      </c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</row>
    <row r="108" spans="8:63" ht="15.75" thickBot="1" x14ac:dyDescent="0.3">
      <c r="H108" s="30">
        <v>47848</v>
      </c>
      <c r="I108">
        <f>I50*0.98255</f>
        <v>98255</v>
      </c>
      <c r="K108" s="148" t="s">
        <v>68</v>
      </c>
      <c r="L108" s="149"/>
      <c r="M108" s="149"/>
      <c r="N108" s="149"/>
      <c r="O108" s="149"/>
      <c r="P108" s="149"/>
      <c r="Q108" s="149"/>
      <c r="R108" s="149"/>
      <c r="S108" s="149"/>
      <c r="T108" s="150"/>
      <c r="AD108" s="146" t="s">
        <v>68</v>
      </c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P108" s="146" t="s">
        <v>68</v>
      </c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</row>
    <row r="109" spans="8:63" ht="15.75" thickBot="1" x14ac:dyDescent="0.3">
      <c r="K109" s="37" t="s">
        <v>61</v>
      </c>
      <c r="L109" s="44" t="s">
        <v>8</v>
      </c>
      <c r="M109" s="44" t="s">
        <v>9</v>
      </c>
      <c r="N109" s="44" t="s">
        <v>10</v>
      </c>
      <c r="O109" s="44" t="s">
        <v>11</v>
      </c>
      <c r="P109" s="44" t="s">
        <v>12</v>
      </c>
      <c r="Q109" s="44" t="s">
        <v>13</v>
      </c>
      <c r="R109" s="44" t="s">
        <v>14</v>
      </c>
      <c r="S109" s="44" t="s">
        <v>15</v>
      </c>
      <c r="T109" s="45" t="s">
        <v>16</v>
      </c>
      <c r="AE109" t="s">
        <v>8</v>
      </c>
      <c r="AF109" t="s">
        <v>9</v>
      </c>
      <c r="AG109" t="s">
        <v>10</v>
      </c>
      <c r="AH109" t="s">
        <v>11</v>
      </c>
      <c r="AI109" t="s">
        <v>12</v>
      </c>
      <c r="AJ109" t="s">
        <v>13</v>
      </c>
      <c r="AK109" t="s">
        <v>14</v>
      </c>
      <c r="AL109" t="s">
        <v>15</v>
      </c>
      <c r="AM109" t="s">
        <v>16</v>
      </c>
      <c r="AN109" t="s">
        <v>61</v>
      </c>
      <c r="AQ109" t="s">
        <v>8</v>
      </c>
      <c r="AR109" t="s">
        <v>9</v>
      </c>
      <c r="AS109" t="s">
        <v>10</v>
      </c>
      <c r="AT109" t="s">
        <v>11</v>
      </c>
      <c r="AU109" t="s">
        <v>12</v>
      </c>
      <c r="AV109" t="s">
        <v>13</v>
      </c>
      <c r="AW109" t="s">
        <v>14</v>
      </c>
      <c r="AX109" t="s">
        <v>15</v>
      </c>
      <c r="AY109" t="s">
        <v>16</v>
      </c>
      <c r="AZ109" t="s">
        <v>61</v>
      </c>
    </row>
    <row r="110" spans="8:63" x14ac:dyDescent="0.25">
      <c r="H110" s="85" t="s">
        <v>192</v>
      </c>
      <c r="I110" s="85"/>
      <c r="J110" s="85"/>
      <c r="K110" s="31">
        <v>49.452966078399029</v>
      </c>
      <c r="L110" s="32">
        <v>8.59094586209876</v>
      </c>
      <c r="M110" s="32">
        <v>27.299663061662073</v>
      </c>
      <c r="N110" s="32">
        <v>2.9749141946074156</v>
      </c>
      <c r="O110" s="32">
        <v>2.7410601383881938</v>
      </c>
      <c r="P110" s="32">
        <v>2.6014545683026631</v>
      </c>
      <c r="Q110" s="32">
        <v>2.3901808785529712</v>
      </c>
      <c r="R110" s="32">
        <v>1.6939201872403258</v>
      </c>
      <c r="S110" s="32">
        <v>0.80425374834083396</v>
      </c>
      <c r="T110" s="33">
        <v>0.35657343920579943</v>
      </c>
      <c r="AD110" t="s">
        <v>22</v>
      </c>
      <c r="AE110" s="15">
        <f>$I$108*(L110/100)*(U51/100)</f>
        <v>75.117172747010642</v>
      </c>
      <c r="AF110" s="15">
        <f t="shared" ref="AF110:AM110" si="166">$I$108*(M110/100)*(V51/100)</f>
        <v>85.249648761518188</v>
      </c>
      <c r="AG110" s="15">
        <f t="shared" si="166"/>
        <v>23.921217739382257</v>
      </c>
      <c r="AH110" s="15">
        <f t="shared" si="166"/>
        <v>32.088521261171117</v>
      </c>
      <c r="AI110" s="15">
        <f t="shared" si="166"/>
        <v>38.364865832431995</v>
      </c>
      <c r="AJ110" s="15">
        <f t="shared" si="166"/>
        <v>59.091216371052745</v>
      </c>
      <c r="AK110" s="15">
        <f t="shared" si="166"/>
        <v>76.30088757458914</v>
      </c>
      <c r="AL110" s="15">
        <f t="shared" si="166"/>
        <v>52.874745553200732</v>
      </c>
      <c r="AM110" s="15">
        <f t="shared" si="166"/>
        <v>36.400128071860593</v>
      </c>
      <c r="AN110" s="15">
        <f>SUM(AE110:AM110)</f>
        <v>479.40840391221741</v>
      </c>
      <c r="AP110" t="s">
        <v>22</v>
      </c>
      <c r="AQ110" s="15">
        <f>$I$108*(L110/100)*(((U51/100)+(U66/6)*13/100))</f>
        <v>113.23472904643161</v>
      </c>
      <c r="AR110" s="15">
        <f t="shared" ref="AR110:AY110" si="167">$I$108*(M110/100)*(((V51/100)+(V66/6)*13/100))</f>
        <v>100.18087736782321</v>
      </c>
      <c r="AS110" s="15">
        <f t="shared" si="167"/>
        <v>12.564070312670628</v>
      </c>
      <c r="AT110" s="15">
        <f t="shared" si="167"/>
        <v>23.726660342728263</v>
      </c>
      <c r="AU110" s="15">
        <f t="shared" si="167"/>
        <v>41.358195620856726</v>
      </c>
      <c r="AV110" s="15">
        <f t="shared" si="167"/>
        <v>32.269681696724199</v>
      </c>
      <c r="AW110" s="15">
        <f t="shared" si="167"/>
        <v>14.534080177962476</v>
      </c>
      <c r="AX110" s="15">
        <v>0</v>
      </c>
      <c r="AY110" s="15">
        <f t="shared" si="167"/>
        <v>0.58375505151214735</v>
      </c>
      <c r="AZ110" s="15">
        <f>SUM(AQ110:AY110)</f>
        <v>338.45204961670925</v>
      </c>
    </row>
    <row r="111" spans="8:63" x14ac:dyDescent="0.25">
      <c r="H111" s="85"/>
      <c r="I111" s="85" t="s">
        <v>74</v>
      </c>
      <c r="J111" s="85" t="s">
        <v>81</v>
      </c>
      <c r="K111" s="34"/>
      <c r="L111" s="35"/>
      <c r="M111" s="35"/>
      <c r="N111" s="35"/>
      <c r="O111" s="35"/>
      <c r="P111" s="35"/>
      <c r="Q111" s="35"/>
      <c r="R111" s="35"/>
      <c r="S111" s="35"/>
      <c r="T111" s="36"/>
      <c r="AD111" t="s">
        <v>23</v>
      </c>
      <c r="AE111" s="15">
        <f>$I$108*(L110/100)*(U52/100)</f>
        <v>63.74622457888519</v>
      </c>
      <c r="AF111" s="15">
        <f t="shared" ref="AF111:AM111" si="168">$I$108*(M110/100)*(V52/100)</f>
        <v>109.97022921261942</v>
      </c>
      <c r="AG111" s="15">
        <f t="shared" si="168"/>
        <v>30.584985538210162</v>
      </c>
      <c r="AH111" s="15">
        <f t="shared" si="168"/>
        <v>43.463817157988395</v>
      </c>
      <c r="AI111" s="15">
        <f t="shared" si="168"/>
        <v>55.462251692537549</v>
      </c>
      <c r="AJ111" s="15">
        <f t="shared" si="168"/>
        <v>67.163786913546289</v>
      </c>
      <c r="AK111" s="15">
        <f t="shared" si="168"/>
        <v>102.89059082027929</v>
      </c>
      <c r="AL111" s="15">
        <f t="shared" si="168"/>
        <v>86.082665016491433</v>
      </c>
      <c r="AM111" s="15">
        <f t="shared" si="168"/>
        <v>65.065228928450807</v>
      </c>
      <c r="AN111" s="15">
        <f t="shared" ref="AN111:AN113" si="169">SUM(AE111:AM111)</f>
        <v>624.42977985900848</v>
      </c>
      <c r="AP111" t="s">
        <v>23</v>
      </c>
      <c r="AQ111" s="15">
        <f>$I$108*(L110/100)*(((U52/100)+(U67/6)*13/100))</f>
        <v>125.94819627210754</v>
      </c>
      <c r="AR111" s="15">
        <f t="shared" ref="AR111:AY111" si="170">$I$108*(M110/100)*(((V52/100)+(V67/6)*13/100))</f>
        <v>144.58273556513095</v>
      </c>
      <c r="AS111" s="15">
        <f t="shared" si="170"/>
        <v>31.487158484980618</v>
      </c>
      <c r="AT111" s="15">
        <f t="shared" si="170"/>
        <v>65.943986730644269</v>
      </c>
      <c r="AU111" s="15">
        <f t="shared" si="170"/>
        <v>75.955881857082559</v>
      </c>
      <c r="AV111" s="15">
        <f t="shared" si="170"/>
        <v>81.222001960818375</v>
      </c>
      <c r="AW111" s="15">
        <f t="shared" si="170"/>
        <v>135.06847066529912</v>
      </c>
      <c r="AX111" s="15">
        <f t="shared" si="170"/>
        <v>77.731523506151191</v>
      </c>
      <c r="AY111" s="15">
        <f t="shared" si="170"/>
        <v>89.53620431680902</v>
      </c>
      <c r="AZ111" s="15">
        <f t="shared" ref="AZ111:AZ113" si="171">SUM(AQ111:AY111)</f>
        <v>827.47615935902377</v>
      </c>
    </row>
    <row r="112" spans="8:63" x14ac:dyDescent="0.25">
      <c r="H112" s="85" t="s">
        <v>22</v>
      </c>
      <c r="I112" s="86">
        <f>AN122</f>
        <v>1323.82071168535</v>
      </c>
      <c r="J112" s="86">
        <f>AZ122</f>
        <v>624.08510638801818</v>
      </c>
      <c r="K112" s="34"/>
      <c r="L112" s="35"/>
      <c r="M112" s="35"/>
      <c r="N112" s="35"/>
      <c r="O112" s="35"/>
      <c r="P112" s="35"/>
      <c r="Q112" s="35"/>
      <c r="R112" s="35"/>
      <c r="S112" s="35"/>
      <c r="T112" s="36"/>
      <c r="AD112" t="s">
        <v>24</v>
      </c>
      <c r="AE112" s="15">
        <f>$I$108*(L110/100)*(U53/100)</f>
        <v>37.041725093135987</v>
      </c>
      <c r="AF112" s="15">
        <f t="shared" ref="AF112:AM112" si="172">$I$108*(M110/100)*(V53/100)</f>
        <v>95.792249248017242</v>
      </c>
      <c r="AG112" s="15">
        <f t="shared" si="172"/>
        <v>22.383425170421969</v>
      </c>
      <c r="AH112" s="15">
        <f t="shared" si="172"/>
        <v>28.183568938383097</v>
      </c>
      <c r="AI112" s="15">
        <f t="shared" si="172"/>
        <v>50.041129346650429</v>
      </c>
      <c r="AJ112" s="15">
        <f t="shared" si="172"/>
        <v>63.288953053149378</v>
      </c>
      <c r="AK112" s="15">
        <f t="shared" si="172"/>
        <v>84.778763971765713</v>
      </c>
      <c r="AL112" s="15">
        <f t="shared" si="172"/>
        <v>69.962315762466815</v>
      </c>
      <c r="AM112" s="15">
        <f t="shared" si="172"/>
        <v>56.875200112282172</v>
      </c>
      <c r="AN112" s="15">
        <f t="shared" si="169"/>
        <v>508.34733069627282</v>
      </c>
      <c r="AP112" t="s">
        <v>24</v>
      </c>
      <c r="AQ112" s="15">
        <f>$I$108*(L110/100)*(((U53/100)+(U68/6)*13/100))</f>
        <v>56.491380383691904</v>
      </c>
      <c r="AR112" s="15">
        <f t="shared" ref="AR112:AY112" si="173">$I$108*(M110/100)*(((V53/100)+(V68/6)*13/100))</f>
        <v>139.58888644579841</v>
      </c>
      <c r="AS112" s="15">
        <f t="shared" si="173"/>
        <v>34.929933727359533</v>
      </c>
      <c r="AT112" s="15">
        <f t="shared" si="173"/>
        <v>51.189552581484143</v>
      </c>
      <c r="AU112" s="15">
        <f t="shared" si="173"/>
        <v>95.922662171246017</v>
      </c>
      <c r="AV112" s="15">
        <f t="shared" si="173"/>
        <v>110.89091442826131</v>
      </c>
      <c r="AW112" s="15">
        <f t="shared" si="173"/>
        <v>142.12402859182714</v>
      </c>
      <c r="AX112" s="15">
        <f t="shared" si="173"/>
        <v>119.68682427675897</v>
      </c>
      <c r="AY112" s="15">
        <f t="shared" si="173"/>
        <v>58.140002723891833</v>
      </c>
      <c r="AZ112" s="15">
        <f t="shared" si="171"/>
        <v>808.96418533031931</v>
      </c>
    </row>
    <row r="113" spans="2:52" ht="15.75" thickBot="1" x14ac:dyDescent="0.3">
      <c r="H113" s="85" t="s">
        <v>23</v>
      </c>
      <c r="I113" s="86">
        <f t="shared" ref="I113:I116" si="174">AN123</f>
        <v>1637.7253140355938</v>
      </c>
      <c r="J113" s="86">
        <f t="shared" ref="J113:J116" si="175">AZ123</f>
        <v>1965.4647789114113</v>
      </c>
      <c r="K113" s="37"/>
      <c r="L113" s="38"/>
      <c r="M113" s="38"/>
      <c r="N113" s="38"/>
      <c r="O113" s="38"/>
      <c r="P113" s="38"/>
      <c r="Q113" s="38"/>
      <c r="R113" s="38"/>
      <c r="S113" s="38"/>
      <c r="T113" s="39"/>
      <c r="AD113" t="s">
        <v>25</v>
      </c>
      <c r="AE113" s="15">
        <f>$I$108*(L110/100)*(U54/100)</f>
        <v>26.532212392292752</v>
      </c>
      <c r="AF113" s="15">
        <f t="shared" ref="AF113:AM113" si="176">$I$108*(M110/100)*(V54/100)</f>
        <v>71.980513666441794</v>
      </c>
      <c r="AG113" s="15">
        <f t="shared" si="176"/>
        <v>10.935413823717603</v>
      </c>
      <c r="AH113" s="15">
        <f t="shared" si="176"/>
        <v>12.393979111457629</v>
      </c>
      <c r="AI113" s="15">
        <f t="shared" si="176"/>
        <v>15.846357626439303</v>
      </c>
      <c r="AJ113" s="15">
        <f t="shared" si="176"/>
        <v>26.155128557679081</v>
      </c>
      <c r="AK113" s="15">
        <f t="shared" si="176"/>
        <v>35.452937660920206</v>
      </c>
      <c r="AL113" s="15">
        <f t="shared" si="176"/>
        <v>29.016628657244301</v>
      </c>
      <c r="AM113" s="15">
        <f t="shared" si="176"/>
        <v>23.660083246709384</v>
      </c>
      <c r="AN113" s="15">
        <f t="shared" si="169"/>
        <v>251.97325474290207</v>
      </c>
      <c r="AP113" t="s">
        <v>25</v>
      </c>
      <c r="AQ113" s="15">
        <f>$I$108*(L110/100)*(((U54/100)+(U69/6)*13/100))</f>
        <v>17.168283837772272</v>
      </c>
      <c r="AR113" s="15">
        <f t="shared" ref="AR113:AY113" si="177">$I$108*(M110/100)*(((V54/100)+(V69/6)*13/100))</f>
        <v>97.688592780901729</v>
      </c>
      <c r="AS113" s="15">
        <f t="shared" si="177"/>
        <v>24.097735020321323</v>
      </c>
      <c r="AT113" s="15">
        <f t="shared" si="177"/>
        <v>15.350455763065058</v>
      </c>
      <c r="AU113" s="15">
        <f t="shared" si="177"/>
        <v>14.349400451192329</v>
      </c>
      <c r="AV113" s="15">
        <f t="shared" si="177"/>
        <v>29.594025695326341</v>
      </c>
      <c r="AW113" s="15">
        <f t="shared" si="177"/>
        <v>53.638315209696572</v>
      </c>
      <c r="AX113" s="15">
        <f t="shared" si="177"/>
        <v>53.799017828329312</v>
      </c>
      <c r="AY113" s="15">
        <f t="shared" si="177"/>
        <v>31.234714214181082</v>
      </c>
      <c r="AZ113" s="15">
        <f t="shared" si="171"/>
        <v>336.92054080078606</v>
      </c>
    </row>
    <row r="114" spans="2:52" ht="15.75" thickBot="1" x14ac:dyDescent="0.3">
      <c r="H114" s="85" t="s">
        <v>24</v>
      </c>
      <c r="I114" s="86">
        <f t="shared" si="174"/>
        <v>1250.3390080582901</v>
      </c>
      <c r="J114" s="86">
        <f t="shared" si="175"/>
        <v>1889.7539210302507</v>
      </c>
      <c r="K114" s="148" t="s">
        <v>29</v>
      </c>
      <c r="L114" s="149"/>
      <c r="M114" s="149"/>
      <c r="N114" s="149"/>
      <c r="O114" s="149"/>
      <c r="P114" s="149"/>
      <c r="Q114" s="149"/>
      <c r="R114" s="149"/>
      <c r="S114" s="149"/>
      <c r="T114" s="150"/>
      <c r="AD114" s="146" t="s">
        <v>29</v>
      </c>
      <c r="AE114" s="146"/>
      <c r="AF114" s="146"/>
      <c r="AG114" s="146"/>
      <c r="AH114" s="146"/>
      <c r="AI114" s="146"/>
      <c r="AJ114" s="146"/>
      <c r="AK114" s="146"/>
      <c r="AL114" s="146"/>
      <c r="AM114" s="146"/>
      <c r="AN114" s="146"/>
      <c r="AP114" s="146" t="s">
        <v>29</v>
      </c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</row>
    <row r="115" spans="2:52" ht="15.75" thickBot="1" x14ac:dyDescent="0.3">
      <c r="H115" s="85" t="s">
        <v>25</v>
      </c>
      <c r="I115" s="86">
        <f t="shared" si="174"/>
        <v>664.94030334131583</v>
      </c>
      <c r="J115" s="86">
        <f t="shared" si="175"/>
        <v>845.34622908513904</v>
      </c>
      <c r="K115" s="46" t="s">
        <v>61</v>
      </c>
      <c r="L115" s="47" t="s">
        <v>8</v>
      </c>
      <c r="M115" s="47" t="s">
        <v>9</v>
      </c>
      <c r="N115" s="47" t="s">
        <v>10</v>
      </c>
      <c r="O115" s="47" t="s">
        <v>11</v>
      </c>
      <c r="P115" s="47" t="s">
        <v>12</v>
      </c>
      <c r="Q115" s="47" t="s">
        <v>13</v>
      </c>
      <c r="R115" s="47" t="s">
        <v>14</v>
      </c>
      <c r="S115" s="47" t="s">
        <v>15</v>
      </c>
      <c r="T115" s="48" t="s">
        <v>16</v>
      </c>
      <c r="AE115" t="s">
        <v>8</v>
      </c>
      <c r="AF115" t="s">
        <v>9</v>
      </c>
      <c r="AG115" t="s">
        <v>10</v>
      </c>
      <c r="AH115" t="s">
        <v>11</v>
      </c>
      <c r="AI115" t="s">
        <v>12</v>
      </c>
      <c r="AJ115" t="s">
        <v>13</v>
      </c>
      <c r="AK115" t="s">
        <v>14</v>
      </c>
      <c r="AL115" t="s">
        <v>15</v>
      </c>
      <c r="AM115" t="s">
        <v>16</v>
      </c>
      <c r="AN115" t="s">
        <v>61</v>
      </c>
      <c r="AQ115" t="s">
        <v>8</v>
      </c>
      <c r="AR115" t="s">
        <v>9</v>
      </c>
      <c r="AS115" t="s">
        <v>10</v>
      </c>
      <c r="AT115" t="s">
        <v>11</v>
      </c>
      <c r="AU115" t="s">
        <v>12</v>
      </c>
      <c r="AV115" t="s">
        <v>13</v>
      </c>
      <c r="AW115" t="s">
        <v>14</v>
      </c>
      <c r="AX115" t="s">
        <v>15</v>
      </c>
      <c r="AY115" t="s">
        <v>16</v>
      </c>
      <c r="AZ115" t="s">
        <v>61</v>
      </c>
    </row>
    <row r="116" spans="2:52" x14ac:dyDescent="0.25">
      <c r="H116" s="85" t="s">
        <v>73</v>
      </c>
      <c r="I116" s="86">
        <f t="shared" si="174"/>
        <v>4876.8253371205492</v>
      </c>
      <c r="J116" s="86">
        <f t="shared" si="175"/>
        <v>5324.6500354148202</v>
      </c>
      <c r="K116" s="31">
        <v>50.547033921600971</v>
      </c>
      <c r="L116" s="32">
        <v>8.103092135749236</v>
      </c>
      <c r="M116" s="32">
        <v>25.989923266024206</v>
      </c>
      <c r="N116" s="32">
        <v>3.0946883124023152</v>
      </c>
      <c r="O116" s="32">
        <v>2.9546900402912279</v>
      </c>
      <c r="P116" s="32">
        <v>2.9896405205658052</v>
      </c>
      <c r="Q116" s="32">
        <v>3.0200749275464767</v>
      </c>
      <c r="R116" s="32">
        <v>2.3795779238629313</v>
      </c>
      <c r="S116" s="32">
        <v>1.3082867981433048</v>
      </c>
      <c r="T116" s="33">
        <v>0.70705999701546463</v>
      </c>
      <c r="AD116" t="s">
        <v>22</v>
      </c>
      <c r="AE116" s="15">
        <f>$I$108*(L116/100)*(U57/100)</f>
        <v>51.874422121423152</v>
      </c>
      <c r="AF116" s="15">
        <f t="shared" ref="AF116:AM116" si="178">$I$108*(M116/100)*(V57/100)</f>
        <v>74.976258508463374</v>
      </c>
      <c r="AG116" s="15">
        <f t="shared" si="178"/>
        <v>23.445684483706348</v>
      </c>
      <c r="AH116" s="15">
        <f t="shared" si="178"/>
        <v>34.750529679207034</v>
      </c>
      <c r="AI116" s="15">
        <f t="shared" si="178"/>
        <v>59.563910006468305</v>
      </c>
      <c r="AJ116" s="15">
        <f t="shared" si="178"/>
        <v>138.83967272007766</v>
      </c>
      <c r="AK116" s="15">
        <f t="shared" si="178"/>
        <v>218.38129545400903</v>
      </c>
      <c r="AL116" s="15">
        <f t="shared" si="178"/>
        <v>159.72380635135488</v>
      </c>
      <c r="AM116" s="15">
        <f t="shared" si="178"/>
        <v>82.856728448422771</v>
      </c>
      <c r="AN116" s="15">
        <f>SUM(AE116:AM116)</f>
        <v>844.41230777313251</v>
      </c>
      <c r="AP116" t="s">
        <v>22</v>
      </c>
      <c r="AQ116" s="15">
        <f>$I$108*(L116/100)*(((U57/100)+((U72/6)*13)/100))</f>
        <v>76.721549168662705</v>
      </c>
      <c r="AR116" s="15">
        <f t="shared" ref="AR116:AY116" si="179">$I$108*(M116/100)*(((V57/100)+((V72/6)*13)/100))</f>
        <v>81.14960214594096</v>
      </c>
      <c r="AS116" s="15">
        <f t="shared" si="179"/>
        <v>5.0146659998002479</v>
      </c>
      <c r="AT116" s="15">
        <f t="shared" si="179"/>
        <v>15.553119210242887</v>
      </c>
      <c r="AU116" s="15">
        <f t="shared" si="179"/>
        <v>8.4326585917348957</v>
      </c>
      <c r="AV116" s="15">
        <f t="shared" si="179"/>
        <v>32.295693403479554</v>
      </c>
      <c r="AW116" s="15">
        <f t="shared" si="179"/>
        <v>48.390565710343175</v>
      </c>
      <c r="AX116" s="15">
        <v>0</v>
      </c>
      <c r="AY116" s="15">
        <f t="shared" si="179"/>
        <v>18.075202541104456</v>
      </c>
      <c r="AZ116" s="15">
        <f>SUM(AQ116:AY116)</f>
        <v>285.63305677130887</v>
      </c>
    </row>
    <row r="117" spans="2:52" x14ac:dyDescent="0.25">
      <c r="K117" s="34"/>
      <c r="L117" s="35"/>
      <c r="M117" s="35"/>
      <c r="N117" s="35"/>
      <c r="O117" s="35"/>
      <c r="P117" s="35"/>
      <c r="Q117" s="35"/>
      <c r="R117" s="35"/>
      <c r="S117" s="35"/>
      <c r="T117" s="36"/>
      <c r="AD117" t="s">
        <v>23</v>
      </c>
      <c r="AE117" s="15">
        <f>$I$108*(L116/100)*(U58/100)</f>
        <v>33.323304276675792</v>
      </c>
      <c r="AF117" s="15">
        <f t="shared" ref="AF117:AM117" si="180">$I$108*(M116/100)*(V58/100)</f>
        <v>83.613229464095213</v>
      </c>
      <c r="AG117" s="15">
        <f t="shared" si="180"/>
        <v>26.987838254626013</v>
      </c>
      <c r="AH117" s="15">
        <f t="shared" si="180"/>
        <v>40.434027523937154</v>
      </c>
      <c r="AI117" s="15">
        <f t="shared" si="180"/>
        <v>67.175911285250194</v>
      </c>
      <c r="AJ117" s="15">
        <f t="shared" si="180"/>
        <v>145.45108570674807</v>
      </c>
      <c r="AK117" s="15">
        <f t="shared" si="180"/>
        <v>232.43100117552569</v>
      </c>
      <c r="AL117" s="15">
        <f t="shared" si="180"/>
        <v>229.23560687546453</v>
      </c>
      <c r="AM117" s="15">
        <f t="shared" si="180"/>
        <v>154.64352961426275</v>
      </c>
      <c r="AN117" s="15">
        <f t="shared" ref="AN117:AN119" si="181">SUM(AE117:AM117)</f>
        <v>1013.2955341765854</v>
      </c>
      <c r="AP117" t="s">
        <v>23</v>
      </c>
      <c r="AQ117" s="15">
        <f>$I$108*(L116/100)*(((U58/100)+((U73/6)*13)/100))</f>
        <v>68.003459355064038</v>
      </c>
      <c r="AR117" s="15">
        <f t="shared" ref="AR117:AY117" si="182">$I$108*(M116/100)*(((V58/100)+((V73/6)*13)/100))</f>
        <v>115.63758015484802</v>
      </c>
      <c r="AS117" s="15">
        <f t="shared" si="182"/>
        <v>38.483986766787361</v>
      </c>
      <c r="AT117" s="15">
        <f t="shared" si="182"/>
        <v>60.024416739981632</v>
      </c>
      <c r="AU117" s="15">
        <f t="shared" si="182"/>
        <v>85.467081300488957</v>
      </c>
      <c r="AV117" s="15">
        <f t="shared" si="182"/>
        <v>166.46060292499226</v>
      </c>
      <c r="AW117" s="15">
        <f t="shared" si="182"/>
        <v>225.0265345590654</v>
      </c>
      <c r="AX117" s="15">
        <f t="shared" si="182"/>
        <v>243.81592116246355</v>
      </c>
      <c r="AY117" s="15">
        <f t="shared" si="182"/>
        <v>135.06903658869615</v>
      </c>
      <c r="AZ117" s="15">
        <f t="shared" ref="AZ117:AZ119" si="183">SUM(AQ117:AY117)</f>
        <v>1137.9886195523875</v>
      </c>
    </row>
    <row r="118" spans="2:52" x14ac:dyDescent="0.25">
      <c r="K118" s="34"/>
      <c r="L118" s="35"/>
      <c r="M118" s="35"/>
      <c r="N118" s="35"/>
      <c r="O118" s="35"/>
      <c r="P118" s="35"/>
      <c r="Q118" s="35"/>
      <c r="R118" s="35"/>
      <c r="S118" s="35"/>
      <c r="T118" s="36"/>
      <c r="AD118" t="s">
        <v>24</v>
      </c>
      <c r="AE118" s="15">
        <f>$I$108*(L116/100)*(U59/100)</f>
        <v>16.146343309317139</v>
      </c>
      <c r="AF118" s="15">
        <f t="shared" ref="AF118:AM118" si="184">$I$108*(M116/100)*(V59/100)</f>
        <v>64.317868818534777</v>
      </c>
      <c r="AG118" s="15">
        <f t="shared" si="184"/>
        <v>16.192702952775605</v>
      </c>
      <c r="AH118" s="15">
        <f t="shared" si="184"/>
        <v>24.357847905986237</v>
      </c>
      <c r="AI118" s="15">
        <f t="shared" si="184"/>
        <v>44.720507512843611</v>
      </c>
      <c r="AJ118" s="15">
        <f t="shared" si="184"/>
        <v>85.37346334961299</v>
      </c>
      <c r="AK118" s="15">
        <f t="shared" si="184"/>
        <v>153.01962101043148</v>
      </c>
      <c r="AL118" s="15">
        <f t="shared" si="184"/>
        <v>176.84619839222015</v>
      </c>
      <c r="AM118" s="15">
        <f t="shared" si="184"/>
        <v>161.01712411029527</v>
      </c>
      <c r="AN118" s="15">
        <f t="shared" si="181"/>
        <v>741.9916773620173</v>
      </c>
      <c r="AP118" t="s">
        <v>24</v>
      </c>
      <c r="AQ118" s="15">
        <f>$I$108*(L116/100)*(((U59/100)+((U74/6)*13)/100))</f>
        <v>10.956796467039089</v>
      </c>
      <c r="AR118" s="15">
        <f t="shared" ref="AR118:AY118" si="185">$I$108*(M116/100)*(((V59/100)+((V74/6)*13)/100))</f>
        <v>89.84779311289897</v>
      </c>
      <c r="AS118" s="15">
        <f t="shared" si="185"/>
        <v>25.845463549608656</v>
      </c>
      <c r="AT118" s="15">
        <f t="shared" si="185"/>
        <v>38.441067132512259</v>
      </c>
      <c r="AU118" s="15">
        <f t="shared" si="185"/>
        <v>75.17120923257059</v>
      </c>
      <c r="AV118" s="15">
        <f t="shared" si="185"/>
        <v>114.17168902496093</v>
      </c>
      <c r="AW118" s="15">
        <f t="shared" si="185"/>
        <v>220.92262681601792</v>
      </c>
      <c r="AX118" s="15">
        <f t="shared" si="185"/>
        <v>256.73737174426378</v>
      </c>
      <c r="AY118" s="15">
        <f t="shared" si="185"/>
        <v>248.69571862005932</v>
      </c>
      <c r="AZ118" s="15">
        <f t="shared" si="183"/>
        <v>1080.7897356999315</v>
      </c>
    </row>
    <row r="119" spans="2:52" ht="15.75" thickBot="1" x14ac:dyDescent="0.3">
      <c r="K119" s="37"/>
      <c r="L119" s="38"/>
      <c r="M119" s="38"/>
      <c r="N119" s="38"/>
      <c r="O119" s="38"/>
      <c r="P119" s="38"/>
      <c r="Q119" s="38"/>
      <c r="R119" s="38"/>
      <c r="S119" s="38"/>
      <c r="T119" s="39"/>
      <c r="AD119" t="s">
        <v>25</v>
      </c>
      <c r="AE119" s="15">
        <f>$I$108*(L116/100)*(U60/100)</f>
        <v>15.459264870622793</v>
      </c>
      <c r="AF119" s="15">
        <f t="shared" ref="AF119:AM119" si="186">$I$108*(M116/100)*(V60/100)</f>
        <v>47.411457586234214</v>
      </c>
      <c r="AG119" s="15">
        <f t="shared" si="186"/>
        <v>7.5903295091135661</v>
      </c>
      <c r="AH119" s="15">
        <f t="shared" si="186"/>
        <v>8.6064395934484708</v>
      </c>
      <c r="AI119" s="15">
        <f t="shared" si="186"/>
        <v>15.604602621502874</v>
      </c>
      <c r="AJ119" s="15">
        <f t="shared" si="186"/>
        <v>33.631970410453604</v>
      </c>
      <c r="AK119" s="15">
        <f t="shared" si="186"/>
        <v>73.608240845337292</v>
      </c>
      <c r="AL119" s="15">
        <f t="shared" si="186"/>
        <v>89.956447737083067</v>
      </c>
      <c r="AM119" s="15">
        <f t="shared" si="186"/>
        <v>121.09829542461789</v>
      </c>
      <c r="AN119" s="15">
        <f t="shared" si="181"/>
        <v>412.96704859841378</v>
      </c>
      <c r="AP119" t="s">
        <v>25</v>
      </c>
      <c r="AQ119" s="15">
        <f>$I$108*(L116/100)*(((U60/100)+((U75/6)*13)/100))</f>
        <v>2.3381618368474699</v>
      </c>
      <c r="AR119" s="15">
        <f t="shared" ref="AR119:AY119" si="187">$I$108*(M116/100)*(((V60/100)+((V75/6)*13)/100))</f>
        <v>80.263228841168157</v>
      </c>
      <c r="AS119" s="15">
        <f t="shared" si="187"/>
        <v>12.733186052557068</v>
      </c>
      <c r="AT119" s="15">
        <f t="shared" si="187"/>
        <v>6.4821673470571586</v>
      </c>
      <c r="AU119" s="15">
        <f t="shared" si="187"/>
        <v>11.688049611656641</v>
      </c>
      <c r="AV119" s="15">
        <f t="shared" si="187"/>
        <v>40.12575471069065</v>
      </c>
      <c r="AW119" s="15">
        <f t="shared" si="187"/>
        <v>82.069638032422006</v>
      </c>
      <c r="AX119" s="15">
        <f t="shared" si="187"/>
        <v>97.525543050018769</v>
      </c>
      <c r="AY119" s="15">
        <f t="shared" si="187"/>
        <v>175.19995880193508</v>
      </c>
      <c r="AZ119" s="15">
        <f t="shared" si="183"/>
        <v>508.42568828435299</v>
      </c>
    </row>
    <row r="120" spans="2:52" x14ac:dyDescent="0.25">
      <c r="AD120" s="146" t="s">
        <v>73</v>
      </c>
      <c r="AE120" s="146"/>
      <c r="AF120" s="146"/>
      <c r="AG120" s="146"/>
      <c r="AH120" s="146"/>
      <c r="AI120" s="146"/>
      <c r="AJ120" s="146"/>
      <c r="AK120" s="146"/>
      <c r="AL120" s="146"/>
      <c r="AM120" s="146"/>
      <c r="AN120" s="146"/>
      <c r="AP120" s="146" t="s">
        <v>73</v>
      </c>
      <c r="AQ120" s="146"/>
      <c r="AR120" s="146"/>
      <c r="AS120" s="146"/>
      <c r="AT120" s="146"/>
      <c r="AU120" s="146"/>
      <c r="AV120" s="146"/>
      <c r="AW120" s="146"/>
      <c r="AX120" s="146"/>
      <c r="AY120" s="146"/>
      <c r="AZ120" s="146"/>
    </row>
    <row r="121" spans="2:52" x14ac:dyDescent="0.25">
      <c r="AD121" s="29"/>
      <c r="AE121" t="s">
        <v>8</v>
      </c>
      <c r="AF121" t="s">
        <v>9</v>
      </c>
      <c r="AG121" t="s">
        <v>10</v>
      </c>
      <c r="AH121" t="s">
        <v>11</v>
      </c>
      <c r="AI121" t="s">
        <v>12</v>
      </c>
      <c r="AJ121" t="s">
        <v>13</v>
      </c>
      <c r="AK121" t="s">
        <v>14</v>
      </c>
      <c r="AL121" t="s">
        <v>15</v>
      </c>
      <c r="AM121" t="s">
        <v>16</v>
      </c>
      <c r="AN121" t="s">
        <v>61</v>
      </c>
      <c r="AQ121" t="s">
        <v>8</v>
      </c>
      <c r="AR121" t="s">
        <v>9</v>
      </c>
      <c r="AS121" t="s">
        <v>10</v>
      </c>
      <c r="AT121" t="s">
        <v>11</v>
      </c>
      <c r="AU121" t="s">
        <v>12</v>
      </c>
      <c r="AV121" t="s">
        <v>13</v>
      </c>
      <c r="AW121" t="s">
        <v>14</v>
      </c>
      <c r="AX121" t="s">
        <v>15</v>
      </c>
      <c r="AY121" t="s">
        <v>16</v>
      </c>
      <c r="AZ121" t="s">
        <v>61</v>
      </c>
    </row>
    <row r="122" spans="2:52" x14ac:dyDescent="0.25">
      <c r="C122" s="80"/>
      <c r="D122" s="84"/>
      <c r="AD122" t="s">
        <v>22</v>
      </c>
      <c r="AE122" s="15">
        <f>AE110+AE116</f>
        <v>126.99159486843379</v>
      </c>
      <c r="AF122" s="15">
        <f t="shared" ref="AF122:AN122" si="188">AF110+AF116</f>
        <v>160.22590726998158</v>
      </c>
      <c r="AG122" s="15">
        <f t="shared" si="188"/>
        <v>47.366902223088601</v>
      </c>
      <c r="AH122" s="15">
        <f t="shared" si="188"/>
        <v>66.839050940378144</v>
      </c>
      <c r="AI122" s="15">
        <f t="shared" si="188"/>
        <v>97.928775838900293</v>
      </c>
      <c r="AJ122" s="15">
        <f t="shared" si="188"/>
        <v>197.93088909113041</v>
      </c>
      <c r="AK122" s="15">
        <f t="shared" si="188"/>
        <v>294.68218302859816</v>
      </c>
      <c r="AL122" s="15">
        <f t="shared" si="188"/>
        <v>212.59855190455562</v>
      </c>
      <c r="AM122" s="15">
        <f t="shared" si="188"/>
        <v>119.25685652028336</v>
      </c>
      <c r="AN122" s="15">
        <f t="shared" si="188"/>
        <v>1323.82071168535</v>
      </c>
      <c r="AP122" t="s">
        <v>22</v>
      </c>
      <c r="AQ122" s="15">
        <f>AQ110+AQ116</f>
        <v>189.9562782150943</v>
      </c>
      <c r="AR122" s="15">
        <f t="shared" ref="AR122:AZ122" si="189">AR110+AR116</f>
        <v>181.33047951376417</v>
      </c>
      <c r="AS122" s="15">
        <f t="shared" si="189"/>
        <v>17.578736312470877</v>
      </c>
      <c r="AT122" s="15">
        <f t="shared" si="189"/>
        <v>39.279779552971149</v>
      </c>
      <c r="AU122" s="15">
        <f t="shared" si="189"/>
        <v>49.790854212591626</v>
      </c>
      <c r="AV122" s="15">
        <f t="shared" si="189"/>
        <v>64.565375100203752</v>
      </c>
      <c r="AW122" s="15">
        <f t="shared" si="189"/>
        <v>62.924645888305648</v>
      </c>
      <c r="AX122" s="15">
        <f t="shared" si="189"/>
        <v>0</v>
      </c>
      <c r="AY122" s="15">
        <f t="shared" si="189"/>
        <v>18.658957592616602</v>
      </c>
      <c r="AZ122" s="15">
        <f t="shared" si="189"/>
        <v>624.08510638801818</v>
      </c>
    </row>
    <row r="123" spans="2:52" x14ac:dyDescent="0.25">
      <c r="B123" s="85" t="s">
        <v>145</v>
      </c>
      <c r="C123" s="85"/>
      <c r="D123" s="87">
        <f>170*(I50/1000)</f>
        <v>17000</v>
      </c>
      <c r="K123" s="80" t="s">
        <v>146</v>
      </c>
      <c r="AD123" t="s">
        <v>23</v>
      </c>
      <c r="AE123" s="15">
        <f t="shared" ref="AE123:AN125" si="190">AE111+AE117</f>
        <v>97.069528855560975</v>
      </c>
      <c r="AF123" s="15">
        <f t="shared" si="190"/>
        <v>193.58345867671463</v>
      </c>
      <c r="AG123" s="15">
        <f t="shared" si="190"/>
        <v>57.572823792836175</v>
      </c>
      <c r="AH123" s="15">
        <f t="shared" si="190"/>
        <v>83.897844681925548</v>
      </c>
      <c r="AI123" s="15">
        <f t="shared" si="190"/>
        <v>122.63816297778774</v>
      </c>
      <c r="AJ123" s="15">
        <f t="shared" si="190"/>
        <v>212.61487262029436</v>
      </c>
      <c r="AK123" s="15">
        <f t="shared" si="190"/>
        <v>335.32159199580497</v>
      </c>
      <c r="AL123" s="15">
        <f t="shared" si="190"/>
        <v>315.31827189195599</v>
      </c>
      <c r="AM123" s="15">
        <f t="shared" si="190"/>
        <v>219.70875854271355</v>
      </c>
      <c r="AN123" s="15">
        <f t="shared" si="190"/>
        <v>1637.7253140355938</v>
      </c>
      <c r="AP123" t="s">
        <v>23</v>
      </c>
      <c r="AQ123" s="15">
        <f t="shared" ref="AQ123:AZ125" si="191">AQ111+AQ117</f>
        <v>193.95165562717159</v>
      </c>
      <c r="AR123" s="15">
        <f t="shared" si="191"/>
        <v>260.220315719979</v>
      </c>
      <c r="AS123" s="15">
        <f t="shared" si="191"/>
        <v>69.971145251767979</v>
      </c>
      <c r="AT123" s="15">
        <f t="shared" si="191"/>
        <v>125.9684034706259</v>
      </c>
      <c r="AU123" s="15">
        <f t="shared" si="191"/>
        <v>161.42296315757153</v>
      </c>
      <c r="AV123" s="15">
        <f t="shared" si="191"/>
        <v>247.68260488581063</v>
      </c>
      <c r="AW123" s="15">
        <f t="shared" si="191"/>
        <v>360.09500522436451</v>
      </c>
      <c r="AX123" s="15">
        <f t="shared" si="191"/>
        <v>321.54744466861473</v>
      </c>
      <c r="AY123" s="15">
        <f t="shared" si="191"/>
        <v>224.60524090550518</v>
      </c>
      <c r="AZ123" s="15">
        <f t="shared" si="191"/>
        <v>1965.4647789114113</v>
      </c>
    </row>
    <row r="124" spans="2:52" x14ac:dyDescent="0.25">
      <c r="B124" s="85" t="s">
        <v>147</v>
      </c>
      <c r="C124" s="85"/>
      <c r="D124" s="87">
        <f>103.53*(I50/1000)</f>
        <v>10353</v>
      </c>
      <c r="K124" s="80" t="s">
        <v>188</v>
      </c>
      <c r="AD124" t="s">
        <v>24</v>
      </c>
      <c r="AE124" s="15">
        <f t="shared" si="190"/>
        <v>53.188068402453126</v>
      </c>
      <c r="AF124" s="15">
        <f t="shared" si="190"/>
        <v>160.11011806655202</v>
      </c>
      <c r="AG124" s="15">
        <f t="shared" si="190"/>
        <v>38.576128123197577</v>
      </c>
      <c r="AH124" s="15">
        <f t="shared" si="190"/>
        <v>52.541416844369337</v>
      </c>
      <c r="AI124" s="15">
        <f t="shared" si="190"/>
        <v>94.761636859494047</v>
      </c>
      <c r="AJ124" s="15">
        <f t="shared" si="190"/>
        <v>148.66241640276237</v>
      </c>
      <c r="AK124" s="15">
        <f t="shared" si="190"/>
        <v>237.79838498219721</v>
      </c>
      <c r="AL124" s="15">
        <f t="shared" si="190"/>
        <v>246.80851415468697</v>
      </c>
      <c r="AM124" s="15">
        <f t="shared" si="190"/>
        <v>217.89232422257743</v>
      </c>
      <c r="AN124" s="15">
        <f t="shared" si="190"/>
        <v>1250.3390080582901</v>
      </c>
      <c r="AP124" t="s">
        <v>24</v>
      </c>
      <c r="AQ124" s="15">
        <f t="shared" si="191"/>
        <v>67.448176850730988</v>
      </c>
      <c r="AR124" s="15">
        <f t="shared" si="191"/>
        <v>229.43667955869739</v>
      </c>
      <c r="AS124" s="15">
        <f t="shared" si="191"/>
        <v>60.775397276968192</v>
      </c>
      <c r="AT124" s="15">
        <f t="shared" si="191"/>
        <v>89.630619713996396</v>
      </c>
      <c r="AU124" s="15">
        <f t="shared" si="191"/>
        <v>171.09387140381659</v>
      </c>
      <c r="AV124" s="15">
        <f t="shared" si="191"/>
        <v>225.06260345322224</v>
      </c>
      <c r="AW124" s="15">
        <f t="shared" si="191"/>
        <v>363.04665540784504</v>
      </c>
      <c r="AX124" s="15">
        <f t="shared" si="191"/>
        <v>376.42419602102274</v>
      </c>
      <c r="AY124" s="15">
        <f t="shared" si="191"/>
        <v>306.83572134395115</v>
      </c>
      <c r="AZ124" s="15">
        <f t="shared" si="191"/>
        <v>1889.7539210302507</v>
      </c>
    </row>
    <row r="125" spans="2:52" x14ac:dyDescent="0.25">
      <c r="B125" s="85" t="s">
        <v>153</v>
      </c>
      <c r="C125" s="85"/>
      <c r="D125" s="87">
        <f>100*((I50*0.195)/1000)</f>
        <v>1950</v>
      </c>
      <c r="K125" s="80" t="s">
        <v>148</v>
      </c>
      <c r="AD125" t="s">
        <v>25</v>
      </c>
      <c r="AE125" s="15">
        <f t="shared" si="190"/>
        <v>41.991477262915545</v>
      </c>
      <c r="AF125" s="15">
        <f t="shared" si="190"/>
        <v>119.391971252676</v>
      </c>
      <c r="AG125" s="15">
        <f t="shared" si="190"/>
        <v>18.525743332831169</v>
      </c>
      <c r="AH125" s="15">
        <f t="shared" si="190"/>
        <v>21.0004187049061</v>
      </c>
      <c r="AI125" s="15">
        <f t="shared" si="190"/>
        <v>31.450960247942177</v>
      </c>
      <c r="AJ125" s="15">
        <f t="shared" si="190"/>
        <v>59.787098968132682</v>
      </c>
      <c r="AK125" s="15">
        <f t="shared" si="190"/>
        <v>109.06117850625751</v>
      </c>
      <c r="AL125" s="15">
        <f t="shared" si="190"/>
        <v>118.97307639432736</v>
      </c>
      <c r="AM125" s="15">
        <f t="shared" si="190"/>
        <v>144.75837867132728</v>
      </c>
      <c r="AN125" s="15">
        <f t="shared" si="190"/>
        <v>664.94030334131583</v>
      </c>
      <c r="AP125" t="s">
        <v>25</v>
      </c>
      <c r="AQ125" s="15">
        <f t="shared" si="191"/>
        <v>19.506445674619741</v>
      </c>
      <c r="AR125" s="15">
        <f t="shared" si="191"/>
        <v>177.95182162206987</v>
      </c>
      <c r="AS125" s="15">
        <f t="shared" si="191"/>
        <v>36.83092107287839</v>
      </c>
      <c r="AT125" s="15">
        <f t="shared" si="191"/>
        <v>21.832623110122217</v>
      </c>
      <c r="AU125" s="15">
        <f t="shared" si="191"/>
        <v>26.037450062848968</v>
      </c>
      <c r="AV125" s="15">
        <f t="shared" si="191"/>
        <v>69.719780406016994</v>
      </c>
      <c r="AW125" s="15">
        <f t="shared" si="191"/>
        <v>135.70795324211858</v>
      </c>
      <c r="AX125" s="15">
        <f t="shared" si="191"/>
        <v>151.32456087834808</v>
      </c>
      <c r="AY125" s="15">
        <f t="shared" si="191"/>
        <v>206.43467301611616</v>
      </c>
      <c r="AZ125" s="15">
        <f t="shared" si="191"/>
        <v>845.34622908513904</v>
      </c>
    </row>
    <row r="126" spans="2:52" x14ac:dyDescent="0.25">
      <c r="B126" s="85" t="s">
        <v>151</v>
      </c>
      <c r="C126" s="85"/>
      <c r="D126" s="87">
        <f>15*(I50/1000)</f>
        <v>1500</v>
      </c>
      <c r="K126" s="80" t="s">
        <v>152</v>
      </c>
      <c r="AD126" t="s">
        <v>73</v>
      </c>
      <c r="AE126" s="15">
        <f>AE122+AE123+AE124+AE125</f>
        <v>319.24066938936346</v>
      </c>
      <c r="AF126" s="15">
        <f t="shared" ref="AF126:AN126" si="192">AF122+AF123+AF124+AF125</f>
        <v>633.31145526592422</v>
      </c>
      <c r="AG126" s="15">
        <f t="shared" si="192"/>
        <v>162.04159747195354</v>
      </c>
      <c r="AH126" s="15">
        <f t="shared" si="192"/>
        <v>224.27873117157912</v>
      </c>
      <c r="AI126" s="15">
        <f t="shared" si="192"/>
        <v>346.77953592412427</v>
      </c>
      <c r="AJ126" s="15">
        <f t="shared" si="192"/>
        <v>618.99527708231983</v>
      </c>
      <c r="AK126" s="15">
        <f t="shared" si="192"/>
        <v>976.86333851285792</v>
      </c>
      <c r="AL126" s="15">
        <f t="shared" si="192"/>
        <v>893.69841434552586</v>
      </c>
      <c r="AM126" s="15">
        <f t="shared" si="192"/>
        <v>701.61631795690153</v>
      </c>
      <c r="AN126" s="15">
        <f t="shared" si="192"/>
        <v>4876.8253371205492</v>
      </c>
      <c r="AP126" t="s">
        <v>73</v>
      </c>
      <c r="AQ126" s="15">
        <f>SUM(AQ122:AQ125)</f>
        <v>470.86255636761661</v>
      </c>
      <c r="AR126" s="15">
        <f t="shared" ref="AR126:AZ126" si="193">SUM(AR122:AR125)</f>
        <v>848.93929641451041</v>
      </c>
      <c r="AS126" s="15">
        <f t="shared" si="193"/>
        <v>185.15619991408545</v>
      </c>
      <c r="AT126" s="15">
        <f t="shared" si="193"/>
        <v>276.71142584771565</v>
      </c>
      <c r="AU126" s="15">
        <f t="shared" si="193"/>
        <v>408.34513883682871</v>
      </c>
      <c r="AV126" s="15">
        <f t="shared" si="193"/>
        <v>607.03036384525365</v>
      </c>
      <c r="AW126" s="15">
        <f t="shared" si="193"/>
        <v>921.77425976263373</v>
      </c>
      <c r="AX126" s="15">
        <f t="shared" si="193"/>
        <v>849.29620156798558</v>
      </c>
      <c r="AY126" s="15">
        <f t="shared" si="193"/>
        <v>756.53459285818917</v>
      </c>
      <c r="AZ126" s="15">
        <f t="shared" si="193"/>
        <v>5324.6500354148202</v>
      </c>
    </row>
    <row r="127" spans="2:52" x14ac:dyDescent="0.25">
      <c r="B127" s="85" t="s">
        <v>153</v>
      </c>
      <c r="C127" s="85"/>
      <c r="D127" s="87">
        <f>74*((I50*0.195)/1000)</f>
        <v>1443</v>
      </c>
      <c r="K127" s="80" t="s">
        <v>154</v>
      </c>
    </row>
    <row r="128" spans="2:52" x14ac:dyDescent="0.25">
      <c r="B128" s="88" t="s">
        <v>155</v>
      </c>
      <c r="C128" s="85"/>
      <c r="D128" s="87">
        <f>300*((I50*0.02)/1000)</f>
        <v>600</v>
      </c>
      <c r="K128" s="81" t="s">
        <v>157</v>
      </c>
    </row>
    <row r="129" spans="2:11" x14ac:dyDescent="0.25">
      <c r="B129" s="88" t="s">
        <v>158</v>
      </c>
      <c r="C129" s="85"/>
      <c r="D129" s="87">
        <f>7*(I50/1000)</f>
        <v>700</v>
      </c>
      <c r="K129" s="81" t="s">
        <v>159</v>
      </c>
    </row>
    <row r="130" spans="2:11" x14ac:dyDescent="0.25">
      <c r="B130" s="89" t="s">
        <v>160</v>
      </c>
      <c r="C130" s="85"/>
      <c r="D130" s="87">
        <f>285*(I50/1000)</f>
        <v>28500</v>
      </c>
      <c r="K130" s="80" t="s">
        <v>161</v>
      </c>
    </row>
    <row r="131" spans="2:11" x14ac:dyDescent="0.25">
      <c r="B131" s="85" t="s">
        <v>162</v>
      </c>
      <c r="C131" s="85"/>
      <c r="D131" s="87">
        <f>50*(I50/1000)</f>
        <v>5000</v>
      </c>
      <c r="K131" s="80" t="s">
        <v>163</v>
      </c>
    </row>
    <row r="132" spans="2:11" x14ac:dyDescent="0.25">
      <c r="B132" s="85" t="s">
        <v>164</v>
      </c>
      <c r="C132" s="85"/>
      <c r="D132" s="87">
        <f>11*(I50/1000)</f>
        <v>1100</v>
      </c>
      <c r="K132" s="80" t="s">
        <v>165</v>
      </c>
    </row>
    <row r="133" spans="2:11" x14ac:dyDescent="0.25">
      <c r="B133" s="85" t="s">
        <v>166</v>
      </c>
      <c r="C133" s="85"/>
      <c r="D133" s="87">
        <f>1.08*(I50/1000)</f>
        <v>108</v>
      </c>
      <c r="K133" s="80" t="s">
        <v>167</v>
      </c>
    </row>
    <row r="134" spans="2:11" x14ac:dyDescent="0.25">
      <c r="B134" s="85" t="s">
        <v>168</v>
      </c>
      <c r="C134" s="85"/>
      <c r="D134" s="87">
        <f>21*(I50/1000)</f>
        <v>2100</v>
      </c>
      <c r="K134" s="80" t="s">
        <v>169</v>
      </c>
    </row>
    <row r="135" spans="2:11" x14ac:dyDescent="0.25">
      <c r="B135" s="85" t="s">
        <v>170</v>
      </c>
      <c r="C135" s="85"/>
      <c r="D135" s="87">
        <f>91*(I50/1000)</f>
        <v>9100</v>
      </c>
      <c r="K135" s="80" t="s">
        <v>171</v>
      </c>
    </row>
    <row r="136" spans="2:11" x14ac:dyDescent="0.25">
      <c r="B136" s="85" t="s">
        <v>189</v>
      </c>
      <c r="C136" s="85"/>
      <c r="D136" s="87">
        <f>57*(I50/1000)</f>
        <v>5700</v>
      </c>
      <c r="K136" s="80" t="s">
        <v>172</v>
      </c>
    </row>
    <row r="137" spans="2:11" x14ac:dyDescent="0.25">
      <c r="B137" s="85"/>
      <c r="C137" s="85"/>
      <c r="D137" s="87"/>
      <c r="K137" s="80"/>
    </row>
    <row r="138" spans="2:11" x14ac:dyDescent="0.25">
      <c r="B138" s="89" t="s">
        <v>173</v>
      </c>
      <c r="C138" s="85"/>
      <c r="D138" s="87">
        <f>101.45*(I50/1000)</f>
        <v>10145</v>
      </c>
      <c r="K138" s="80" t="s">
        <v>176</v>
      </c>
    </row>
    <row r="139" spans="2:11" x14ac:dyDescent="0.25">
      <c r="B139" s="85" t="s">
        <v>174</v>
      </c>
      <c r="C139" s="85"/>
      <c r="D139" s="87"/>
      <c r="K139" s="80"/>
    </row>
    <row r="140" spans="2:11" x14ac:dyDescent="0.25">
      <c r="B140" s="85" t="s">
        <v>175</v>
      </c>
      <c r="C140" s="85"/>
      <c r="D140" s="87">
        <f>47.06*(I50/1000)</f>
        <v>4706</v>
      </c>
      <c r="K140" s="80" t="s">
        <v>177</v>
      </c>
    </row>
    <row r="141" spans="2:11" x14ac:dyDescent="0.25">
      <c r="B141" s="85" t="s">
        <v>178</v>
      </c>
      <c r="C141" s="85"/>
      <c r="D141" s="87">
        <f>9.84*(I50/1000)</f>
        <v>984</v>
      </c>
      <c r="K141" s="80" t="s">
        <v>179</v>
      </c>
    </row>
    <row r="142" spans="2:11" x14ac:dyDescent="0.25">
      <c r="B142" s="85" t="s">
        <v>180</v>
      </c>
      <c r="C142" s="85"/>
      <c r="D142" s="87">
        <f>9.6*(I50/1000)</f>
        <v>960</v>
      </c>
      <c r="K142" s="80" t="s">
        <v>181</v>
      </c>
    </row>
    <row r="143" spans="2:11" x14ac:dyDescent="0.25">
      <c r="B143" s="85" t="s">
        <v>182</v>
      </c>
      <c r="C143" s="85"/>
      <c r="D143" s="87">
        <f>8.14*(I50/1000)</f>
        <v>814</v>
      </c>
      <c r="K143" s="80" t="s">
        <v>183</v>
      </c>
    </row>
    <row r="144" spans="2:11" x14ac:dyDescent="0.25">
      <c r="B144" s="85" t="s">
        <v>184</v>
      </c>
      <c r="C144" s="85"/>
      <c r="D144" s="87">
        <f>67.48*(I50/1000)</f>
        <v>6748</v>
      </c>
      <c r="K144" s="80" t="s">
        <v>185</v>
      </c>
    </row>
    <row r="145" spans="2:11" x14ac:dyDescent="0.25">
      <c r="B145" s="85" t="s">
        <v>186</v>
      </c>
      <c r="C145" s="85"/>
      <c r="D145" s="87">
        <f>13.65*(I50/1000)</f>
        <v>1365</v>
      </c>
      <c r="K145" s="80" t="s">
        <v>187</v>
      </c>
    </row>
  </sheetData>
  <sheetProtection algorithmName="SHA-512" hashValue="3dR0ht1SgzIcUgsDtOzxQqBEiCDXJDQO71NoGCDRi/+dekWLf/5EOJgIA04GM2ryC7ifXs8Oi86lxp1zMy1tPg==" saltValue="2n9S4gmT255ib5FHVA//aw==" spinCount="100000" sheet="1" objects="1" scenarios="1" selectLockedCells="1" selectUnlockedCells="1"/>
  <mergeCells count="59">
    <mergeCell ref="AP108:AZ108"/>
    <mergeCell ref="AP114:AZ114"/>
    <mergeCell ref="AP120:AZ120"/>
    <mergeCell ref="AP98:AZ98"/>
    <mergeCell ref="AD107:AN107"/>
    <mergeCell ref="AD108:AN108"/>
    <mergeCell ref="AD114:AN114"/>
    <mergeCell ref="AD120:AN120"/>
    <mergeCell ref="AP107:AZ107"/>
    <mergeCell ref="K114:T114"/>
    <mergeCell ref="K86:T86"/>
    <mergeCell ref="K92:T92"/>
    <mergeCell ref="K85:T85"/>
    <mergeCell ref="U55:AC55"/>
    <mergeCell ref="K55:T55"/>
    <mergeCell ref="K63:T63"/>
    <mergeCell ref="K64:T64"/>
    <mergeCell ref="K70:T70"/>
    <mergeCell ref="U63:AC63"/>
    <mergeCell ref="U64:AC64"/>
    <mergeCell ref="U70:AC70"/>
    <mergeCell ref="K107:T107"/>
    <mergeCell ref="K108:T108"/>
    <mergeCell ref="K39:T39"/>
    <mergeCell ref="K48:T48"/>
    <mergeCell ref="U49:AC49"/>
    <mergeCell ref="U48:AC48"/>
    <mergeCell ref="K49:T49"/>
    <mergeCell ref="CR13:DU13"/>
    <mergeCell ref="CR14:DA14"/>
    <mergeCell ref="DB14:DK14"/>
    <mergeCell ref="DL14:DU14"/>
    <mergeCell ref="BE14:BM14"/>
    <mergeCell ref="AM13:BM13"/>
    <mergeCell ref="BN14:BW14"/>
    <mergeCell ref="BX14:CG14"/>
    <mergeCell ref="CH14:CQ14"/>
    <mergeCell ref="BN13:CQ13"/>
    <mergeCell ref="AV14:BD14"/>
    <mergeCell ref="B1:K1"/>
    <mergeCell ref="L1:T1"/>
    <mergeCell ref="U1:AC1"/>
    <mergeCell ref="AD15:AL15"/>
    <mergeCell ref="AM14:AU14"/>
    <mergeCell ref="AP63:AZ63"/>
    <mergeCell ref="AP64:AZ64"/>
    <mergeCell ref="AP70:AZ70"/>
    <mergeCell ref="AP76:AZ76"/>
    <mergeCell ref="AP85:AZ85"/>
    <mergeCell ref="AP86:AZ86"/>
    <mergeCell ref="AP92:AZ92"/>
    <mergeCell ref="AD85:AN85"/>
    <mergeCell ref="AD86:AN86"/>
    <mergeCell ref="AD92:AN92"/>
    <mergeCell ref="AD63:AN63"/>
    <mergeCell ref="AD64:AN64"/>
    <mergeCell ref="AD70:AN70"/>
    <mergeCell ref="AD76:AN76"/>
    <mergeCell ref="AD98:AN9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showRowColHeaders="0" tabSelected="1" zoomScaleNormal="100" workbookViewId="0">
      <selection activeCell="C7" sqref="C7"/>
    </sheetView>
  </sheetViews>
  <sheetFormatPr defaultColWidth="9.140625" defaultRowHeight="15" x14ac:dyDescent="0.25"/>
  <cols>
    <col min="1" max="1" width="2.7109375" style="95" customWidth="1"/>
    <col min="2" max="2" width="21.85546875" style="95" bestFit="1" customWidth="1"/>
    <col min="3" max="4" width="10.7109375" style="95" customWidth="1"/>
    <col min="5" max="5" width="10.7109375" style="95" bestFit="1" customWidth="1"/>
    <col min="6" max="8" width="10.7109375" style="95" customWidth="1"/>
    <col min="9" max="9" width="2.7109375" style="95" customWidth="1"/>
    <col min="10" max="10" width="9.140625" style="95" customWidth="1"/>
    <col min="11" max="11" width="9.140625" style="95"/>
    <col min="12" max="12" width="9.140625" style="95" customWidth="1"/>
    <col min="13" max="16384" width="9.140625" style="95"/>
  </cols>
  <sheetData>
    <row r="1" spans="1:9" x14ac:dyDescent="0.25">
      <c r="A1" s="92"/>
      <c r="B1" s="93"/>
      <c r="C1" s="93"/>
      <c r="D1" s="93"/>
      <c r="E1" s="93"/>
      <c r="F1" s="93"/>
      <c r="G1" s="93"/>
      <c r="H1" s="93"/>
      <c r="I1" s="94"/>
    </row>
    <row r="2" spans="1:9" ht="18.75" x14ac:dyDescent="0.3">
      <c r="A2" s="96"/>
      <c r="B2" s="156" t="s">
        <v>197</v>
      </c>
      <c r="C2" s="156"/>
      <c r="D2" s="156"/>
      <c r="E2" s="156"/>
      <c r="F2" s="156"/>
      <c r="G2" s="156"/>
      <c r="H2" s="156"/>
      <c r="I2" s="97"/>
    </row>
    <row r="3" spans="1:9" x14ac:dyDescent="0.25">
      <c r="A3" s="96"/>
      <c r="B3" s="98"/>
      <c r="C3" s="98"/>
      <c r="D3" s="98"/>
      <c r="E3" s="98"/>
      <c r="F3" s="98"/>
      <c r="G3" s="98"/>
      <c r="H3" s="98"/>
      <c r="I3" s="97"/>
    </row>
    <row r="4" spans="1:9" ht="15.75" thickBot="1" x14ac:dyDescent="0.3">
      <c r="A4" s="96"/>
      <c r="B4" s="98"/>
      <c r="C4" s="98"/>
      <c r="D4" s="98"/>
      <c r="E4" s="98"/>
      <c r="F4" s="98"/>
      <c r="G4" s="98"/>
      <c r="H4" s="98"/>
      <c r="I4" s="97"/>
    </row>
    <row r="5" spans="1:9" ht="15.75" x14ac:dyDescent="0.25">
      <c r="A5" s="96"/>
      <c r="B5" s="157" t="s">
        <v>65</v>
      </c>
      <c r="C5" s="158"/>
      <c r="D5" s="159"/>
      <c r="E5" s="98"/>
      <c r="F5" s="98"/>
      <c r="G5" s="98"/>
      <c r="H5" s="98"/>
      <c r="I5" s="97"/>
    </row>
    <row r="6" spans="1:9" ht="19.5" thickBot="1" x14ac:dyDescent="0.3">
      <c r="A6" s="96"/>
      <c r="B6" s="99">
        <v>43100</v>
      </c>
      <c r="C6" s="160">
        <v>100000</v>
      </c>
      <c r="D6" s="161"/>
      <c r="E6" s="98"/>
      <c r="F6" s="98"/>
      <c r="G6" s="98"/>
      <c r="H6" s="98"/>
      <c r="I6" s="97"/>
    </row>
    <row r="7" spans="1:9" ht="19.5" thickBot="1" x14ac:dyDescent="0.3">
      <c r="A7" s="96"/>
      <c r="B7" s="100"/>
      <c r="C7" s="101"/>
      <c r="D7" s="101"/>
      <c r="E7" s="98"/>
      <c r="F7" s="98"/>
      <c r="G7" s="98"/>
      <c r="H7" s="98"/>
      <c r="I7" s="97"/>
    </row>
    <row r="8" spans="1:9" ht="15.75" x14ac:dyDescent="0.25">
      <c r="A8" s="96"/>
      <c r="B8" s="100"/>
      <c r="C8" s="166" t="s">
        <v>196</v>
      </c>
      <c r="D8" s="167"/>
      <c r="E8" s="167"/>
      <c r="F8" s="167"/>
      <c r="G8" s="167"/>
      <c r="H8" s="168"/>
      <c r="I8" s="97"/>
    </row>
    <row r="9" spans="1:9" ht="19.5" thickBot="1" x14ac:dyDescent="0.35">
      <c r="A9" s="96"/>
      <c r="B9" s="98"/>
      <c r="C9" s="162" t="s">
        <v>193</v>
      </c>
      <c r="D9" s="163"/>
      <c r="E9" s="164" t="s">
        <v>194</v>
      </c>
      <c r="F9" s="165"/>
      <c r="G9" s="169" t="s">
        <v>195</v>
      </c>
      <c r="H9" s="170"/>
      <c r="I9" s="97"/>
    </row>
    <row r="10" spans="1:9" ht="15.75" thickBot="1" x14ac:dyDescent="0.3">
      <c r="A10" s="96"/>
      <c r="B10" s="98"/>
      <c r="C10" s="102" t="s">
        <v>74</v>
      </c>
      <c r="D10" s="103" t="s">
        <v>81</v>
      </c>
      <c r="E10" s="104" t="s">
        <v>74</v>
      </c>
      <c r="F10" s="103" t="s">
        <v>81</v>
      </c>
      <c r="G10" s="105" t="s">
        <v>74</v>
      </c>
      <c r="H10" s="106" t="s">
        <v>81</v>
      </c>
      <c r="I10" s="97"/>
    </row>
    <row r="11" spans="1:9" ht="15.75" x14ac:dyDescent="0.25">
      <c r="A11" s="96"/>
      <c r="B11" s="107" t="s">
        <v>22</v>
      </c>
      <c r="C11" s="108">
        <f>List3!I68</f>
        <v>1086.367156844077</v>
      </c>
      <c r="D11" s="109">
        <f>List3!J68</f>
        <v>965.91358398031798</v>
      </c>
      <c r="E11" s="110">
        <f>List3!I90</f>
        <v>1191.652757676929</v>
      </c>
      <c r="F11" s="111">
        <f>List3!J90</f>
        <v>814.93964289411156</v>
      </c>
      <c r="G11" s="112">
        <f>List3!I112</f>
        <v>1323.82071168535</v>
      </c>
      <c r="H11" s="113">
        <f>List3!J112</f>
        <v>624.08510638801818</v>
      </c>
      <c r="I11" s="97"/>
    </row>
    <row r="12" spans="1:9" ht="15.75" x14ac:dyDescent="0.25">
      <c r="A12" s="96"/>
      <c r="B12" s="114" t="s">
        <v>23</v>
      </c>
      <c r="C12" s="108">
        <f>List3!I69</f>
        <v>1316.2443118749406</v>
      </c>
      <c r="D12" s="109">
        <f>List3!J69</f>
        <v>1390.7680258158655</v>
      </c>
      <c r="E12" s="115">
        <f>List3!I91</f>
        <v>1453.9220160542059</v>
      </c>
      <c r="F12" s="116">
        <f>List3!J91</f>
        <v>1656.6096596695622</v>
      </c>
      <c r="G12" s="117">
        <f>List3!I113</f>
        <v>1637.7253140355938</v>
      </c>
      <c r="H12" s="118">
        <f>List3!J113</f>
        <v>1965.4647789114113</v>
      </c>
      <c r="I12" s="97"/>
    </row>
    <row r="13" spans="1:9" ht="15.75" x14ac:dyDescent="0.25">
      <c r="A13" s="96"/>
      <c r="B13" s="114" t="s">
        <v>24</v>
      </c>
      <c r="C13" s="108">
        <f>List3!I70</f>
        <v>990.71610615517591</v>
      </c>
      <c r="D13" s="109">
        <f>List3!J70</f>
        <v>1108.4683545287958</v>
      </c>
      <c r="E13" s="115">
        <f>List3!I92</f>
        <v>1103.7482961040882</v>
      </c>
      <c r="F13" s="116">
        <f>List3!J92</f>
        <v>1452.2097497504124</v>
      </c>
      <c r="G13" s="117">
        <f>List3!I114</f>
        <v>1250.3390080582901</v>
      </c>
      <c r="H13" s="118">
        <f>List3!J114</f>
        <v>1889.7539210302507</v>
      </c>
      <c r="I13" s="97"/>
    </row>
    <row r="14" spans="1:9" ht="15.75" x14ac:dyDescent="0.25">
      <c r="A14" s="96"/>
      <c r="B14" s="114" t="s">
        <v>25</v>
      </c>
      <c r="C14" s="108">
        <f>List3!I71</f>
        <v>535.48556208876471</v>
      </c>
      <c r="D14" s="109">
        <f>List3!J71</f>
        <v>566.5556933032276</v>
      </c>
      <c r="E14" s="115">
        <f>List3!I93</f>
        <v>592.19378023066406</v>
      </c>
      <c r="F14" s="116">
        <f>List3!J93</f>
        <v>686.4059745880063</v>
      </c>
      <c r="G14" s="117">
        <f>List3!I115</f>
        <v>664.94030334131583</v>
      </c>
      <c r="H14" s="118">
        <f>List3!J115</f>
        <v>845.34622908513904</v>
      </c>
      <c r="I14" s="97"/>
    </row>
    <row r="15" spans="1:9" ht="16.5" thickBot="1" x14ac:dyDescent="0.3">
      <c r="A15" s="96"/>
      <c r="B15" s="119" t="s">
        <v>73</v>
      </c>
      <c r="C15" s="120">
        <f>List3!I72</f>
        <v>3928.8131369629582</v>
      </c>
      <c r="D15" s="121">
        <f>List3!J72</f>
        <v>4031.7056576282071</v>
      </c>
      <c r="E15" s="122">
        <f>List3!I94</f>
        <v>4341.5168500658874</v>
      </c>
      <c r="F15" s="123">
        <f>List3!J94</f>
        <v>4610.165026902092</v>
      </c>
      <c r="G15" s="124">
        <f>List3!I116</f>
        <v>4876.8253371205492</v>
      </c>
      <c r="H15" s="125">
        <f>List3!J116</f>
        <v>5324.6500354148202</v>
      </c>
      <c r="I15" s="97"/>
    </row>
    <row r="16" spans="1:9" ht="19.5" thickBot="1" x14ac:dyDescent="0.3">
      <c r="A16" s="96"/>
      <c r="B16" s="100"/>
      <c r="C16" s="101"/>
      <c r="D16" s="101"/>
      <c r="E16" s="98"/>
      <c r="F16" s="98"/>
      <c r="G16" s="98"/>
      <c r="H16" s="98"/>
      <c r="I16" s="97"/>
    </row>
    <row r="17" spans="1:9" ht="15.75" x14ac:dyDescent="0.25">
      <c r="A17" s="96"/>
      <c r="B17" s="126" t="s">
        <v>145</v>
      </c>
      <c r="C17" s="127">
        <f>List3!D123</f>
        <v>17000</v>
      </c>
      <c r="D17" s="98"/>
      <c r="E17" s="98"/>
      <c r="F17" s="98"/>
      <c r="G17" s="98"/>
      <c r="H17" s="98"/>
      <c r="I17" s="97"/>
    </row>
    <row r="18" spans="1:9" ht="15.75" x14ac:dyDescent="0.25">
      <c r="A18" s="96"/>
      <c r="B18" s="128" t="s">
        <v>147</v>
      </c>
      <c r="C18" s="129">
        <f>List3!D124</f>
        <v>10353</v>
      </c>
      <c r="D18" s="130"/>
      <c r="E18" s="98"/>
      <c r="F18" s="98"/>
      <c r="G18" s="98"/>
      <c r="H18" s="98"/>
      <c r="I18" s="97"/>
    </row>
    <row r="19" spans="1:9" ht="15.75" x14ac:dyDescent="0.25">
      <c r="A19" s="96"/>
      <c r="B19" s="128" t="s">
        <v>153</v>
      </c>
      <c r="C19" s="129">
        <f>List3!D125</f>
        <v>1950</v>
      </c>
      <c r="D19" s="130"/>
      <c r="E19" s="98"/>
      <c r="F19" s="98"/>
      <c r="G19" s="98"/>
      <c r="H19" s="98"/>
      <c r="I19" s="97"/>
    </row>
    <row r="20" spans="1:9" ht="15.75" x14ac:dyDescent="0.25">
      <c r="A20" s="96"/>
      <c r="B20" s="128" t="s">
        <v>151</v>
      </c>
      <c r="C20" s="129">
        <f>List3!D126</f>
        <v>1500</v>
      </c>
      <c r="D20" s="98"/>
      <c r="E20" s="98"/>
      <c r="F20" s="98"/>
      <c r="G20" s="98"/>
      <c r="H20" s="98"/>
      <c r="I20" s="97"/>
    </row>
    <row r="21" spans="1:9" ht="15.75" x14ac:dyDescent="0.25">
      <c r="A21" s="96"/>
      <c r="B21" s="128" t="s">
        <v>153</v>
      </c>
      <c r="C21" s="129">
        <f>List3!D127</f>
        <v>1443</v>
      </c>
      <c r="D21" s="98"/>
      <c r="E21" s="98"/>
      <c r="F21" s="98"/>
      <c r="G21" s="98"/>
      <c r="H21" s="98"/>
      <c r="I21" s="97"/>
    </row>
    <row r="22" spans="1:9" ht="15.75" x14ac:dyDescent="0.25">
      <c r="A22" s="96"/>
      <c r="B22" s="131" t="s">
        <v>155</v>
      </c>
      <c r="C22" s="129">
        <f>List3!D128</f>
        <v>600</v>
      </c>
      <c r="D22" s="98"/>
      <c r="E22" s="98"/>
      <c r="F22" s="98"/>
      <c r="G22" s="98"/>
      <c r="H22" s="98"/>
      <c r="I22" s="97"/>
    </row>
    <row r="23" spans="1:9" ht="15.75" x14ac:dyDescent="0.25">
      <c r="A23" s="96"/>
      <c r="B23" s="131" t="s">
        <v>158</v>
      </c>
      <c r="C23" s="129">
        <f>List3!D129</f>
        <v>700</v>
      </c>
      <c r="D23" s="98"/>
      <c r="E23" s="98"/>
      <c r="F23" s="98"/>
      <c r="G23" s="98"/>
      <c r="H23" s="98"/>
      <c r="I23" s="97"/>
    </row>
    <row r="24" spans="1:9" ht="15.75" x14ac:dyDescent="0.25">
      <c r="A24" s="96"/>
      <c r="B24" s="132" t="s">
        <v>160</v>
      </c>
      <c r="C24" s="129">
        <f>List3!D130</f>
        <v>28500</v>
      </c>
      <c r="D24" s="98"/>
      <c r="E24" s="98"/>
      <c r="F24" s="98"/>
      <c r="G24" s="98"/>
      <c r="H24" s="98"/>
      <c r="I24" s="97"/>
    </row>
    <row r="25" spans="1:9" ht="15.75" x14ac:dyDescent="0.25">
      <c r="A25" s="96"/>
      <c r="B25" s="128" t="s">
        <v>162</v>
      </c>
      <c r="C25" s="129">
        <f>List3!D131</f>
        <v>5000</v>
      </c>
      <c r="D25" s="98"/>
      <c r="E25" s="98"/>
      <c r="F25" s="98"/>
      <c r="G25" s="98"/>
      <c r="H25" s="98"/>
      <c r="I25" s="97"/>
    </row>
    <row r="26" spans="1:9" ht="15.75" x14ac:dyDescent="0.25">
      <c r="A26" s="96"/>
      <c r="B26" s="128" t="s">
        <v>164</v>
      </c>
      <c r="C26" s="129">
        <f>List3!D132</f>
        <v>1100</v>
      </c>
      <c r="D26" s="130"/>
      <c r="E26" s="98"/>
      <c r="F26" s="98"/>
      <c r="G26" s="98"/>
      <c r="H26" s="98"/>
      <c r="I26" s="97"/>
    </row>
    <row r="27" spans="1:9" ht="15.75" x14ac:dyDescent="0.25">
      <c r="A27" s="96"/>
      <c r="B27" s="128" t="s">
        <v>166</v>
      </c>
      <c r="C27" s="129">
        <f>List3!D133</f>
        <v>108</v>
      </c>
      <c r="D27" s="130"/>
      <c r="E27" s="98"/>
      <c r="F27" s="98"/>
      <c r="G27" s="98"/>
      <c r="H27" s="98"/>
      <c r="I27" s="97"/>
    </row>
    <row r="28" spans="1:9" ht="15.75" x14ac:dyDescent="0.25">
      <c r="A28" s="96"/>
      <c r="B28" s="128" t="s">
        <v>168</v>
      </c>
      <c r="C28" s="129">
        <f>List3!D134</f>
        <v>2100</v>
      </c>
      <c r="D28" s="98"/>
      <c r="E28" s="98"/>
      <c r="F28" s="98"/>
      <c r="G28" s="98"/>
      <c r="H28" s="98"/>
      <c r="I28" s="97"/>
    </row>
    <row r="29" spans="1:9" ht="15.75" x14ac:dyDescent="0.25">
      <c r="A29" s="96"/>
      <c r="B29" s="128" t="s">
        <v>170</v>
      </c>
      <c r="C29" s="129">
        <f>List3!D135</f>
        <v>9100</v>
      </c>
      <c r="D29" s="98"/>
      <c r="E29" s="98"/>
      <c r="F29" s="98"/>
      <c r="G29" s="98"/>
      <c r="H29" s="98"/>
      <c r="I29" s="97"/>
    </row>
    <row r="30" spans="1:9" ht="15.75" x14ac:dyDescent="0.25">
      <c r="A30" s="96"/>
      <c r="B30" s="128" t="s">
        <v>189</v>
      </c>
      <c r="C30" s="129">
        <f>List3!D136</f>
        <v>5700</v>
      </c>
      <c r="D30" s="98"/>
      <c r="E30" s="98"/>
      <c r="F30" s="98"/>
      <c r="G30" s="98"/>
      <c r="H30" s="98"/>
      <c r="I30" s="97"/>
    </row>
    <row r="31" spans="1:9" ht="15.75" x14ac:dyDescent="0.25">
      <c r="A31" s="96"/>
      <c r="B31" s="128"/>
      <c r="C31" s="129"/>
      <c r="D31" s="98"/>
      <c r="E31" s="98"/>
      <c r="F31" s="98"/>
      <c r="G31" s="98"/>
      <c r="H31" s="98"/>
      <c r="I31" s="97"/>
    </row>
    <row r="32" spans="1:9" ht="15.75" x14ac:dyDescent="0.25">
      <c r="A32" s="96"/>
      <c r="B32" s="132" t="s">
        <v>173</v>
      </c>
      <c r="C32" s="129">
        <f>List3!D138</f>
        <v>10145</v>
      </c>
      <c r="D32" s="98"/>
      <c r="E32" s="98"/>
      <c r="F32" s="98"/>
      <c r="G32" s="98"/>
      <c r="H32" s="98"/>
      <c r="I32" s="97"/>
    </row>
    <row r="33" spans="1:9" ht="15.75" x14ac:dyDescent="0.25">
      <c r="A33" s="96"/>
      <c r="B33" s="128" t="s">
        <v>174</v>
      </c>
      <c r="C33" s="129"/>
      <c r="D33" s="98"/>
      <c r="E33" s="98"/>
      <c r="F33" s="98"/>
      <c r="G33" s="98"/>
      <c r="H33" s="98"/>
      <c r="I33" s="97"/>
    </row>
    <row r="34" spans="1:9" ht="15.75" x14ac:dyDescent="0.25">
      <c r="A34" s="96"/>
      <c r="B34" s="133" t="s">
        <v>175</v>
      </c>
      <c r="C34" s="134">
        <f>List3!D140</f>
        <v>4706</v>
      </c>
      <c r="D34" s="130"/>
      <c r="E34" s="98"/>
      <c r="F34" s="98"/>
      <c r="G34" s="98"/>
      <c r="H34" s="98"/>
      <c r="I34" s="97"/>
    </row>
    <row r="35" spans="1:9" ht="15.75" x14ac:dyDescent="0.25">
      <c r="A35" s="96"/>
      <c r="B35" s="133" t="s">
        <v>178</v>
      </c>
      <c r="C35" s="134">
        <f>List3!D141</f>
        <v>984</v>
      </c>
      <c r="D35" s="130"/>
      <c r="E35" s="98"/>
      <c r="F35" s="98"/>
      <c r="G35" s="98"/>
      <c r="H35" s="98"/>
      <c r="I35" s="97"/>
    </row>
    <row r="36" spans="1:9" ht="15.75" x14ac:dyDescent="0.25">
      <c r="A36" s="96"/>
      <c r="B36" s="133" t="s">
        <v>180</v>
      </c>
      <c r="C36" s="134">
        <f>List3!D142</f>
        <v>960</v>
      </c>
      <c r="D36" s="98"/>
      <c r="E36" s="98"/>
      <c r="F36" s="98"/>
      <c r="G36" s="98"/>
      <c r="H36" s="98"/>
      <c r="I36" s="97"/>
    </row>
    <row r="37" spans="1:9" ht="15.75" x14ac:dyDescent="0.25">
      <c r="A37" s="96"/>
      <c r="B37" s="133" t="s">
        <v>182</v>
      </c>
      <c r="C37" s="134">
        <f>List3!D143</f>
        <v>814</v>
      </c>
      <c r="D37" s="98"/>
      <c r="E37" s="98"/>
      <c r="F37" s="98"/>
      <c r="G37" s="98"/>
      <c r="H37" s="98"/>
      <c r="I37" s="97"/>
    </row>
    <row r="38" spans="1:9" ht="15.75" x14ac:dyDescent="0.25">
      <c r="A38" s="96"/>
      <c r="B38" s="133" t="s">
        <v>184</v>
      </c>
      <c r="C38" s="134">
        <f>List3!D144</f>
        <v>6748</v>
      </c>
      <c r="D38" s="98"/>
      <c r="E38" s="98"/>
      <c r="F38" s="98"/>
      <c r="G38" s="98"/>
      <c r="H38" s="98"/>
      <c r="I38" s="97"/>
    </row>
    <row r="39" spans="1:9" ht="16.5" thickBot="1" x14ac:dyDescent="0.3">
      <c r="A39" s="96"/>
      <c r="B39" s="135" t="s">
        <v>186</v>
      </c>
      <c r="C39" s="136">
        <f>List3!D145</f>
        <v>1365</v>
      </c>
      <c r="D39" s="98"/>
      <c r="E39" s="98"/>
      <c r="F39" s="98"/>
      <c r="G39" s="98"/>
      <c r="H39" s="98"/>
      <c r="I39" s="97"/>
    </row>
    <row r="40" spans="1:9" x14ac:dyDescent="0.25">
      <c r="A40" s="96"/>
      <c r="B40" s="98"/>
      <c r="C40" s="98"/>
      <c r="D40" s="98"/>
      <c r="E40" s="98"/>
      <c r="F40" s="98"/>
      <c r="G40" s="98"/>
      <c r="H40" s="98"/>
      <c r="I40" s="97"/>
    </row>
    <row r="41" spans="1:9" x14ac:dyDescent="0.25">
      <c r="A41" s="137"/>
      <c r="B41" s="138"/>
      <c r="C41" s="138"/>
      <c r="D41" s="138"/>
      <c r="E41" s="138"/>
      <c r="F41" s="138"/>
      <c r="G41" s="138"/>
      <c r="H41" s="138"/>
      <c r="I41" s="139"/>
    </row>
    <row r="42" spans="1:9" x14ac:dyDescent="0.25">
      <c r="A42" s="140"/>
    </row>
    <row r="43" spans="1:9" x14ac:dyDescent="0.25">
      <c r="B43" s="141"/>
      <c r="C43" s="141"/>
      <c r="D43" s="141"/>
    </row>
    <row r="44" spans="1:9" x14ac:dyDescent="0.25">
      <c r="B44" s="141"/>
      <c r="C44" s="141"/>
      <c r="D44" s="141"/>
    </row>
  </sheetData>
  <sheetProtection algorithmName="SHA-512" hashValue="vdzzX2BWqmcTflSkIK3AXWouUj8Qlh5UXXmU9RytGs9Hb/bTrdt3nnrebMW+j38tWTtplxEyjLtraO3pNEwXCg==" saltValue="NzeuSIxwEx7DzGPsVMzLew==" spinCount="100000" sheet="1" objects="1" scenarios="1"/>
  <mergeCells count="7">
    <mergeCell ref="B2:H2"/>
    <mergeCell ref="B5:D5"/>
    <mergeCell ref="C6:D6"/>
    <mergeCell ref="C9:D9"/>
    <mergeCell ref="E9:F9"/>
    <mergeCell ref="C8:H8"/>
    <mergeCell ref="G9:H9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7" sqref="H7"/>
    </sheetView>
  </sheetViews>
  <sheetFormatPr defaultRowHeight="15" x14ac:dyDescent="0.25"/>
  <sheetData>
    <row r="1" spans="1:11" x14ac:dyDescent="0.25">
      <c r="B1" t="s">
        <v>51</v>
      </c>
      <c r="C1" t="s">
        <v>52</v>
      </c>
      <c r="D1" t="s">
        <v>53</v>
      </c>
      <c r="E1" t="s">
        <v>54</v>
      </c>
      <c r="H1" t="s">
        <v>51</v>
      </c>
      <c r="I1" t="s">
        <v>52</v>
      </c>
      <c r="J1" t="s">
        <v>53</v>
      </c>
      <c r="K1" t="s">
        <v>54</v>
      </c>
    </row>
    <row r="2" spans="1:11" x14ac:dyDescent="0.25">
      <c r="A2" s="17" t="s">
        <v>49</v>
      </c>
      <c r="B2" s="21">
        <v>2690</v>
      </c>
      <c r="C2" s="22">
        <v>2755</v>
      </c>
      <c r="D2" s="23">
        <v>2603</v>
      </c>
      <c r="E2" s="24">
        <v>2605</v>
      </c>
      <c r="G2" s="13" t="s">
        <v>8</v>
      </c>
      <c r="H2" s="15">
        <f>B2+B3+B4+B5+(B6*0.6)</f>
        <v>48423.6</v>
      </c>
      <c r="I2" s="15">
        <f t="shared" ref="I2:K2" si="0">C2+C3+C4+C5+(C6*0.6)</f>
        <v>48994</v>
      </c>
      <c r="J2" s="15">
        <f t="shared" si="0"/>
        <v>45516.2</v>
      </c>
      <c r="K2" s="15">
        <f t="shared" si="0"/>
        <v>46351</v>
      </c>
    </row>
    <row r="3" spans="1:11" x14ac:dyDescent="0.25">
      <c r="A3" s="18" t="s">
        <v>30</v>
      </c>
      <c r="B3" s="21">
        <v>11900</v>
      </c>
      <c r="C3" s="22">
        <v>10997</v>
      </c>
      <c r="D3" s="23">
        <v>11356</v>
      </c>
      <c r="E3" s="24">
        <v>10455</v>
      </c>
      <c r="G3" s="13" t="s">
        <v>9</v>
      </c>
      <c r="H3" s="15">
        <f>(B6*0.4)+B7+B8+B9+B10+B11+B12+B13+B14</f>
        <v>154384.4</v>
      </c>
      <c r="I3" s="15">
        <f t="shared" ref="I3:K3" si="1">(C6*0.4)+C7+C8+C9+C10+C11+C12+C13+C14</f>
        <v>147568</v>
      </c>
      <c r="J3" s="15">
        <f t="shared" si="1"/>
        <v>147283.79999999999</v>
      </c>
      <c r="K3" s="15">
        <f t="shared" si="1"/>
        <v>138962</v>
      </c>
    </row>
    <row r="4" spans="1:11" x14ac:dyDescent="0.25">
      <c r="A4" s="18" t="s">
        <v>31</v>
      </c>
      <c r="B4" s="21">
        <v>12890</v>
      </c>
      <c r="C4" s="22">
        <v>14463</v>
      </c>
      <c r="D4" s="23">
        <v>11853</v>
      </c>
      <c r="E4" s="24">
        <v>13862</v>
      </c>
      <c r="G4" s="13" t="s">
        <v>10</v>
      </c>
      <c r="H4" s="15">
        <f t="shared" ref="H4:H9" si="2">B15</f>
        <v>17440</v>
      </c>
      <c r="I4" s="15">
        <f t="shared" ref="I4:K4" si="3">C15</f>
        <v>17107</v>
      </c>
      <c r="J4" s="15">
        <f t="shared" si="3"/>
        <v>18652</v>
      </c>
      <c r="K4" s="15">
        <f t="shared" si="3"/>
        <v>18027</v>
      </c>
    </row>
    <row r="5" spans="1:11" x14ac:dyDescent="0.25">
      <c r="A5" s="19" t="s">
        <v>50</v>
      </c>
      <c r="B5" s="21">
        <v>12192</v>
      </c>
      <c r="C5" s="22">
        <v>13396</v>
      </c>
      <c r="D5" s="23">
        <v>11546</v>
      </c>
      <c r="E5" s="24">
        <v>12565</v>
      </c>
      <c r="G5" s="13" t="s">
        <v>11</v>
      </c>
      <c r="H5" s="15">
        <f t="shared" si="2"/>
        <v>13186</v>
      </c>
      <c r="I5" s="15">
        <f t="shared" ref="I5:K5" si="4">C16</f>
        <v>15863</v>
      </c>
      <c r="J5" s="15">
        <f t="shared" si="4"/>
        <v>15444</v>
      </c>
      <c r="K5" s="15">
        <f t="shared" si="4"/>
        <v>17878</v>
      </c>
    </row>
    <row r="6" spans="1:11" x14ac:dyDescent="0.25">
      <c r="A6" s="20" t="s">
        <v>32</v>
      </c>
      <c r="B6" s="21">
        <v>14586</v>
      </c>
      <c r="C6" s="22">
        <v>12305</v>
      </c>
      <c r="D6" s="23">
        <v>13597</v>
      </c>
      <c r="E6" s="24">
        <v>11440</v>
      </c>
      <c r="G6" s="13" t="s">
        <v>12</v>
      </c>
      <c r="H6" s="15">
        <f t="shared" si="2"/>
        <v>8501</v>
      </c>
      <c r="I6" s="15">
        <f t="shared" ref="I6:K6" si="5">C17</f>
        <v>12259</v>
      </c>
      <c r="J6" s="15">
        <f t="shared" si="5"/>
        <v>11303</v>
      </c>
      <c r="K6" s="15">
        <f t="shared" si="5"/>
        <v>15436</v>
      </c>
    </row>
    <row r="7" spans="1:11" x14ac:dyDescent="0.25">
      <c r="A7" s="20" t="s">
        <v>33</v>
      </c>
      <c r="B7" s="21">
        <v>17313</v>
      </c>
      <c r="C7" s="22">
        <v>13954</v>
      </c>
      <c r="D7" s="23">
        <v>16327</v>
      </c>
      <c r="E7" s="24">
        <v>13049</v>
      </c>
      <c r="G7" s="13" t="s">
        <v>13</v>
      </c>
      <c r="H7" s="15">
        <f t="shared" si="2"/>
        <v>6309</v>
      </c>
      <c r="I7" s="15">
        <f t="shared" ref="I7:K7" si="6">C18</f>
        <v>7273</v>
      </c>
      <c r="J7" s="15">
        <f t="shared" si="6"/>
        <v>9880</v>
      </c>
      <c r="K7" s="15">
        <f t="shared" si="6"/>
        <v>10323</v>
      </c>
    </row>
    <row r="8" spans="1:11" x14ac:dyDescent="0.25">
      <c r="A8" s="20" t="s">
        <v>34</v>
      </c>
      <c r="B8" s="21">
        <v>18241</v>
      </c>
      <c r="C8" s="22">
        <v>17352</v>
      </c>
      <c r="D8" s="23">
        <v>16795</v>
      </c>
      <c r="E8" s="24">
        <v>16164</v>
      </c>
      <c r="G8" s="13" t="s">
        <v>14</v>
      </c>
      <c r="H8" s="15">
        <f t="shared" si="2"/>
        <v>4367</v>
      </c>
      <c r="I8" s="15">
        <f t="shared" ref="I8:K8" si="7">C19</f>
        <v>4319</v>
      </c>
      <c r="J8" s="15">
        <f t="shared" si="7"/>
        <v>7782</v>
      </c>
      <c r="K8" s="15">
        <f t="shared" si="7"/>
        <v>7655</v>
      </c>
    </row>
    <row r="9" spans="1:11" x14ac:dyDescent="0.25">
      <c r="A9" s="20" t="s">
        <v>35</v>
      </c>
      <c r="B9" s="21">
        <v>21151</v>
      </c>
      <c r="C9" s="22">
        <v>17824</v>
      </c>
      <c r="D9" s="23">
        <v>19288</v>
      </c>
      <c r="E9" s="24">
        <v>16131</v>
      </c>
      <c r="G9" s="13" t="s">
        <v>15</v>
      </c>
      <c r="H9" s="15">
        <f t="shared" si="2"/>
        <v>1933</v>
      </c>
      <c r="I9" s="15">
        <f t="shared" ref="I9:K9" si="8">C20</f>
        <v>2451</v>
      </c>
      <c r="J9" s="15">
        <f t="shared" si="8"/>
        <v>4252</v>
      </c>
      <c r="K9" s="15">
        <f t="shared" si="8"/>
        <v>5030</v>
      </c>
    </row>
    <row r="10" spans="1:11" x14ac:dyDescent="0.25">
      <c r="A10" s="20" t="s">
        <v>36</v>
      </c>
      <c r="B10" s="21">
        <v>22987</v>
      </c>
      <c r="C10" s="22">
        <v>20016</v>
      </c>
      <c r="D10" s="23">
        <v>21405</v>
      </c>
      <c r="E10" s="24">
        <v>18260</v>
      </c>
      <c r="G10" s="13" t="s">
        <v>16</v>
      </c>
      <c r="H10" s="15">
        <f>B21+B22</f>
        <v>417</v>
      </c>
      <c r="I10" s="15">
        <f t="shared" ref="I10:K10" si="9">C21+C22</f>
        <v>770</v>
      </c>
      <c r="J10" s="15">
        <f t="shared" si="9"/>
        <v>1337</v>
      </c>
      <c r="K10" s="15">
        <f t="shared" si="9"/>
        <v>2071</v>
      </c>
    </row>
    <row r="11" spans="1:11" x14ac:dyDescent="0.25">
      <c r="A11" s="20" t="s">
        <v>37</v>
      </c>
      <c r="B11" s="21">
        <v>17594</v>
      </c>
      <c r="C11" s="22">
        <v>23437</v>
      </c>
      <c r="D11" s="23">
        <v>16823</v>
      </c>
      <c r="E11" s="24">
        <v>21710</v>
      </c>
    </row>
    <row r="12" spans="1:11" x14ac:dyDescent="0.25">
      <c r="A12" s="20" t="s">
        <v>38</v>
      </c>
      <c r="B12" s="21">
        <v>16869</v>
      </c>
      <c r="C12" s="22">
        <v>18271</v>
      </c>
      <c r="D12" s="23">
        <v>16515</v>
      </c>
      <c r="E12" s="24">
        <v>17465</v>
      </c>
    </row>
    <row r="13" spans="1:11" x14ac:dyDescent="0.25">
      <c r="A13" s="20" t="s">
        <v>39</v>
      </c>
      <c r="B13" s="21">
        <v>16016</v>
      </c>
      <c r="C13" s="22">
        <v>16744</v>
      </c>
      <c r="D13" s="23">
        <v>15775</v>
      </c>
      <c r="E13" s="24">
        <v>16454</v>
      </c>
    </row>
    <row r="14" spans="1:11" x14ac:dyDescent="0.25">
      <c r="A14" s="20" t="s">
        <v>40</v>
      </c>
      <c r="B14" s="21">
        <v>18379</v>
      </c>
      <c r="C14" s="22">
        <v>15048</v>
      </c>
      <c r="D14" s="23">
        <v>18917</v>
      </c>
      <c r="E14" s="24">
        <v>15153</v>
      </c>
    </row>
    <row r="15" spans="1:11" x14ac:dyDescent="0.25">
      <c r="A15" s="20" t="s">
        <v>41</v>
      </c>
      <c r="B15" s="21">
        <v>17440</v>
      </c>
      <c r="C15" s="22">
        <v>17107</v>
      </c>
      <c r="D15" s="23">
        <v>18652</v>
      </c>
      <c r="E15" s="24">
        <v>18027</v>
      </c>
    </row>
    <row r="16" spans="1:11" x14ac:dyDescent="0.25">
      <c r="A16" s="20" t="s">
        <v>42</v>
      </c>
      <c r="B16" s="21">
        <v>13186</v>
      </c>
      <c r="C16" s="22">
        <v>15863</v>
      </c>
      <c r="D16" s="23">
        <v>15444</v>
      </c>
      <c r="E16" s="24">
        <v>17878</v>
      </c>
    </row>
    <row r="17" spans="1:5" x14ac:dyDescent="0.25">
      <c r="A17" s="20" t="s">
        <v>43</v>
      </c>
      <c r="B17" s="21">
        <v>8501</v>
      </c>
      <c r="C17" s="22">
        <v>12259</v>
      </c>
      <c r="D17" s="23">
        <v>11303</v>
      </c>
      <c r="E17" s="24">
        <v>15436</v>
      </c>
    </row>
    <row r="18" spans="1:5" x14ac:dyDescent="0.25">
      <c r="A18" s="20" t="s">
        <v>44</v>
      </c>
      <c r="B18" s="21">
        <v>6309</v>
      </c>
      <c r="C18" s="22">
        <v>7273</v>
      </c>
      <c r="D18" s="23">
        <v>9880</v>
      </c>
      <c r="E18" s="24">
        <v>10323</v>
      </c>
    </row>
    <row r="19" spans="1:5" x14ac:dyDescent="0.25">
      <c r="A19" s="20" t="s">
        <v>45</v>
      </c>
      <c r="B19" s="21">
        <v>4367</v>
      </c>
      <c r="C19" s="22">
        <v>4319</v>
      </c>
      <c r="D19" s="23">
        <v>7782</v>
      </c>
      <c r="E19" s="24">
        <v>7655</v>
      </c>
    </row>
    <row r="20" spans="1:5" x14ac:dyDescent="0.25">
      <c r="A20" s="20" t="s">
        <v>46</v>
      </c>
      <c r="B20" s="21">
        <v>1933</v>
      </c>
      <c r="C20" s="22">
        <v>2451</v>
      </c>
      <c r="D20" s="23">
        <v>4252</v>
      </c>
      <c r="E20" s="24">
        <v>5030</v>
      </c>
    </row>
    <row r="21" spans="1:5" x14ac:dyDescent="0.25">
      <c r="A21" s="20" t="s">
        <v>47</v>
      </c>
      <c r="B21" s="21">
        <v>351</v>
      </c>
      <c r="C21" s="22">
        <v>680</v>
      </c>
      <c r="D21" s="23">
        <v>1116</v>
      </c>
      <c r="E21" s="24">
        <v>1738</v>
      </c>
    </row>
    <row r="22" spans="1:5" x14ac:dyDescent="0.25">
      <c r="A22" s="20" t="s">
        <v>48</v>
      </c>
      <c r="B22" s="21">
        <v>66</v>
      </c>
      <c r="C22" s="22">
        <v>90</v>
      </c>
      <c r="D22" s="23">
        <v>221</v>
      </c>
      <c r="E22" s="24">
        <v>333</v>
      </c>
    </row>
  </sheetData>
  <sheetProtection algorithmName="SHA-512" hashValue="CCFk+/bMhWYxWC81YAhLDW+YGFCMGiMSU6QfgjERCfNEmT+xg6/EJTnH5dCLggM0y5hqch9rrtfFW8BP6qBfhw==" saltValue="BDBrUpmLEmrnRAL9KCEjt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9" workbookViewId="0">
      <selection activeCell="H7" sqref="H7"/>
    </sheetView>
  </sheetViews>
  <sheetFormatPr defaultColWidth="9.140625" defaultRowHeight="10.5" x14ac:dyDescent="0.15"/>
  <cols>
    <col min="1" max="4" width="23.140625" style="58" customWidth="1"/>
    <col min="5" max="6" width="9.140625" style="58"/>
    <col min="7" max="7" width="21" style="58" customWidth="1"/>
    <col min="8" max="16384" width="9.140625" style="58"/>
  </cols>
  <sheetData>
    <row r="1" spans="1:5" ht="32.25" thickBot="1" x14ac:dyDescent="0.2">
      <c r="A1" s="55" t="s">
        <v>83</v>
      </c>
      <c r="B1" s="56" t="s">
        <v>84</v>
      </c>
      <c r="C1" s="56" t="s">
        <v>85</v>
      </c>
      <c r="D1" s="56" t="s">
        <v>86</v>
      </c>
      <c r="E1" s="57"/>
    </row>
    <row r="2" spans="1:5" ht="11.25" thickBot="1" x14ac:dyDescent="0.2">
      <c r="A2" s="82" t="s">
        <v>87</v>
      </c>
      <c r="B2" s="63">
        <v>1806327</v>
      </c>
      <c r="C2" s="69">
        <v>170</v>
      </c>
      <c r="D2" s="63">
        <v>88247</v>
      </c>
      <c r="E2" s="57"/>
    </row>
    <row r="3" spans="1:5" ht="11.25" thickBot="1" x14ac:dyDescent="0.2">
      <c r="A3" s="82" t="s">
        <v>88</v>
      </c>
      <c r="B3" s="63">
        <v>1100000</v>
      </c>
      <c r="C3" s="63">
        <v>103.5</v>
      </c>
      <c r="D3" s="63">
        <v>53737</v>
      </c>
      <c r="E3" s="57"/>
    </row>
    <row r="4" spans="1:5" ht="11.25" thickBot="1" x14ac:dyDescent="0.2">
      <c r="A4" s="83" t="s">
        <v>89</v>
      </c>
      <c r="B4" s="64" t="s">
        <v>90</v>
      </c>
      <c r="C4" s="64">
        <v>100</v>
      </c>
      <c r="D4" s="64">
        <v>0</v>
      </c>
      <c r="E4" s="57"/>
    </row>
    <row r="5" spans="1:5" ht="21.75" thickBot="1" x14ac:dyDescent="0.2">
      <c r="A5" s="82" t="s">
        <v>91</v>
      </c>
      <c r="B5" s="63">
        <v>155900</v>
      </c>
      <c r="C5" s="63">
        <v>14.67</v>
      </c>
      <c r="D5" s="63">
        <v>7829</v>
      </c>
      <c r="E5" s="57"/>
    </row>
    <row r="6" spans="1:5" ht="11.25" thickBot="1" x14ac:dyDescent="0.2">
      <c r="A6" s="83" t="s">
        <v>89</v>
      </c>
      <c r="B6" s="64">
        <v>150960</v>
      </c>
      <c r="C6" s="64">
        <v>74</v>
      </c>
      <c r="D6" s="64">
        <v>7375</v>
      </c>
      <c r="E6" s="57"/>
    </row>
    <row r="7" spans="1:5" ht="11.25" thickBot="1" x14ac:dyDescent="0.2">
      <c r="A7" s="83" t="s">
        <v>92</v>
      </c>
      <c r="B7" s="65">
        <v>115389</v>
      </c>
      <c r="C7" s="64">
        <v>300</v>
      </c>
      <c r="D7" s="64">
        <v>5606</v>
      </c>
      <c r="E7" s="57"/>
    </row>
    <row r="8" spans="1:5" ht="32.25" thickBot="1" x14ac:dyDescent="0.2">
      <c r="A8" s="59" t="s">
        <v>93</v>
      </c>
      <c r="B8" s="63">
        <v>6200</v>
      </c>
      <c r="C8" s="63">
        <v>61</v>
      </c>
      <c r="D8" s="63">
        <v>330</v>
      </c>
      <c r="E8" s="57"/>
    </row>
    <row r="9" spans="1:5" ht="21.75" thickBot="1" x14ac:dyDescent="0.2">
      <c r="A9" s="59" t="s">
        <v>94</v>
      </c>
      <c r="B9" s="63">
        <v>259000</v>
      </c>
      <c r="C9" s="63">
        <v>24</v>
      </c>
      <c r="D9" s="63">
        <v>12458</v>
      </c>
      <c r="E9" s="57"/>
    </row>
    <row r="10" spans="1:5" ht="11.25" thickBot="1" x14ac:dyDescent="0.2">
      <c r="A10" s="59" t="s">
        <v>95</v>
      </c>
      <c r="B10" s="66"/>
      <c r="C10" s="66"/>
      <c r="D10" s="66"/>
      <c r="E10" s="57"/>
    </row>
    <row r="11" spans="1:5" ht="11.25" thickBot="1" x14ac:dyDescent="0.2">
      <c r="A11" s="60" t="s">
        <v>96</v>
      </c>
      <c r="B11" s="64">
        <v>2860480</v>
      </c>
      <c r="C11" s="64">
        <v>32</v>
      </c>
      <c r="D11" s="64">
        <v>1400</v>
      </c>
      <c r="E11" s="57"/>
    </row>
    <row r="12" spans="1:5" ht="11.25" thickBot="1" x14ac:dyDescent="0.2">
      <c r="A12" s="60" t="s">
        <v>97</v>
      </c>
      <c r="B12" s="64">
        <v>4201330</v>
      </c>
      <c r="C12" s="64">
        <v>47</v>
      </c>
      <c r="D12" s="64">
        <v>2057</v>
      </c>
      <c r="E12" s="57"/>
    </row>
    <row r="13" spans="1:5" ht="11.25" thickBot="1" x14ac:dyDescent="0.2">
      <c r="A13" s="60" t="s">
        <v>98</v>
      </c>
      <c r="B13" s="64">
        <v>1162070</v>
      </c>
      <c r="C13" s="64">
        <v>13</v>
      </c>
      <c r="D13" s="64">
        <v>569</v>
      </c>
      <c r="E13" s="57"/>
    </row>
    <row r="14" spans="1:5" ht="11.25" thickBot="1" x14ac:dyDescent="0.2">
      <c r="A14" s="60" t="s">
        <v>99</v>
      </c>
      <c r="B14" s="64">
        <v>715120</v>
      </c>
      <c r="C14" s="64">
        <v>8</v>
      </c>
      <c r="D14" s="64">
        <v>350</v>
      </c>
      <c r="E14" s="57"/>
    </row>
    <row r="15" spans="1:5" ht="21.75" thickBot="1" x14ac:dyDescent="0.2">
      <c r="A15" s="59" t="s">
        <v>100</v>
      </c>
      <c r="B15" s="66"/>
      <c r="C15" s="63">
        <v>2.5</v>
      </c>
      <c r="D15" s="63" t="s">
        <v>101</v>
      </c>
      <c r="E15" s="57"/>
    </row>
    <row r="16" spans="1:5" ht="21.75" thickBot="1" x14ac:dyDescent="0.2">
      <c r="A16" s="59" t="s">
        <v>102</v>
      </c>
      <c r="B16" s="66"/>
      <c r="C16" s="66"/>
      <c r="D16" s="63" t="s">
        <v>103</v>
      </c>
      <c r="E16" s="57"/>
    </row>
    <row r="17" spans="1:7" ht="42.75" thickBot="1" x14ac:dyDescent="0.2">
      <c r="A17" s="59" t="s">
        <v>104</v>
      </c>
      <c r="B17" s="63">
        <v>24700</v>
      </c>
      <c r="C17" s="63">
        <v>2.2999999999999998</v>
      </c>
      <c r="D17" s="63">
        <v>1195</v>
      </c>
      <c r="E17" s="57"/>
    </row>
    <row r="18" spans="1:7" ht="32.25" thickBot="1" x14ac:dyDescent="0.2">
      <c r="A18" s="60" t="s">
        <v>105</v>
      </c>
      <c r="B18" s="67" t="s">
        <v>144</v>
      </c>
      <c r="C18" s="64">
        <v>1.8</v>
      </c>
      <c r="D18" s="64">
        <v>934</v>
      </c>
      <c r="E18" s="57"/>
    </row>
    <row r="19" spans="1:7" ht="21.75" thickBot="1" x14ac:dyDescent="0.2">
      <c r="A19" s="60" t="s">
        <v>106</v>
      </c>
      <c r="B19" s="64">
        <v>8292</v>
      </c>
      <c r="C19" s="64">
        <v>0.8</v>
      </c>
      <c r="D19" s="64">
        <v>65</v>
      </c>
      <c r="E19" s="57"/>
    </row>
    <row r="20" spans="1:7" ht="21.75" thickBot="1" x14ac:dyDescent="0.2">
      <c r="A20" s="60" t="s">
        <v>107</v>
      </c>
      <c r="B20" s="64">
        <v>1644</v>
      </c>
      <c r="C20" s="64">
        <v>0.2</v>
      </c>
      <c r="D20" s="64">
        <v>16</v>
      </c>
      <c r="E20" s="57"/>
    </row>
    <row r="21" spans="1:7" ht="35.25" customHeight="1" x14ac:dyDescent="0.15">
      <c r="A21" s="171" t="s">
        <v>108</v>
      </c>
      <c r="B21" s="173">
        <v>47000</v>
      </c>
      <c r="C21" s="173">
        <v>4.4000000000000004</v>
      </c>
      <c r="D21" s="173">
        <v>2284</v>
      </c>
      <c r="E21" s="57"/>
    </row>
    <row r="22" spans="1:7" ht="11.25" thickBot="1" x14ac:dyDescent="0.2">
      <c r="A22" s="172"/>
      <c r="B22" s="174"/>
      <c r="C22" s="174"/>
      <c r="D22" s="174"/>
      <c r="E22" s="57"/>
    </row>
    <row r="23" spans="1:7" ht="11.25" thickBot="1" x14ac:dyDescent="0.2">
      <c r="A23" s="61" t="s">
        <v>109</v>
      </c>
      <c r="B23" s="68">
        <v>24996</v>
      </c>
      <c r="C23" s="68">
        <v>2.5</v>
      </c>
      <c r="D23" s="68">
        <v>1171</v>
      </c>
      <c r="E23" s="57"/>
    </row>
    <row r="24" spans="1:7" ht="21.75" thickBot="1" x14ac:dyDescent="0.2">
      <c r="A24" s="59" t="s">
        <v>110</v>
      </c>
      <c r="B24" s="63">
        <v>1348</v>
      </c>
      <c r="C24" s="63">
        <v>0.01</v>
      </c>
      <c r="D24" s="63">
        <v>66</v>
      </c>
      <c r="E24" s="57"/>
    </row>
    <row r="25" spans="1:7" ht="11.25" thickBot="1" x14ac:dyDescent="0.2">
      <c r="A25" s="82" t="s">
        <v>111</v>
      </c>
      <c r="B25" s="63">
        <v>47000</v>
      </c>
      <c r="C25" s="63">
        <v>6.7</v>
      </c>
      <c r="D25" s="63">
        <v>3478</v>
      </c>
      <c r="E25" s="57"/>
    </row>
    <row r="26" spans="1:7" ht="11.25" thickBot="1" x14ac:dyDescent="0.2">
      <c r="A26" s="82" t="s">
        <v>112</v>
      </c>
      <c r="B26" s="63">
        <v>3028253</v>
      </c>
      <c r="C26" s="63">
        <v>285</v>
      </c>
      <c r="D26" s="63" t="s">
        <v>113</v>
      </c>
      <c r="E26" s="57"/>
    </row>
    <row r="27" spans="1:7" ht="11.25" thickBot="1" x14ac:dyDescent="0.2">
      <c r="A27" s="82" t="s">
        <v>114</v>
      </c>
      <c r="B27" s="63">
        <v>531273</v>
      </c>
      <c r="C27" s="63">
        <v>50</v>
      </c>
      <c r="D27" s="63">
        <v>519</v>
      </c>
      <c r="E27" s="57"/>
      <c r="G27" s="58">
        <f>425/10500000</f>
        <v>4.0476190476190474E-5</v>
      </c>
    </row>
    <row r="28" spans="1:7" ht="11.25" thickBot="1" x14ac:dyDescent="0.2">
      <c r="A28" s="59" t="s">
        <v>115</v>
      </c>
      <c r="B28" s="63">
        <v>425</v>
      </c>
      <c r="C28" s="63">
        <v>0.04</v>
      </c>
      <c r="D28" s="63">
        <v>21</v>
      </c>
      <c r="E28" s="57"/>
    </row>
    <row r="29" spans="1:7" ht="21.75" thickBot="1" x14ac:dyDescent="0.2">
      <c r="A29" s="82" t="s">
        <v>116</v>
      </c>
      <c r="B29" s="63">
        <v>122000</v>
      </c>
      <c r="C29" s="63">
        <v>11.48</v>
      </c>
      <c r="D29" s="63">
        <v>5960</v>
      </c>
      <c r="E29" s="57"/>
    </row>
    <row r="30" spans="1:7" ht="32.25" thickBot="1" x14ac:dyDescent="0.2">
      <c r="A30" s="83" t="s">
        <v>117</v>
      </c>
      <c r="B30" s="64">
        <v>11376</v>
      </c>
      <c r="C30" s="64">
        <v>1.07</v>
      </c>
      <c r="D30" s="64">
        <v>537</v>
      </c>
      <c r="E30" s="57"/>
      <c r="G30" s="58">
        <f>B30/10500000</f>
        <v>1.0834285714285713E-3</v>
      </c>
    </row>
    <row r="31" spans="1:7" ht="32.25" thickBot="1" x14ac:dyDescent="0.2">
      <c r="A31" s="60" t="s">
        <v>118</v>
      </c>
      <c r="B31" s="64">
        <v>11376</v>
      </c>
      <c r="C31" s="64">
        <v>1.07</v>
      </c>
      <c r="D31" s="64">
        <v>558</v>
      </c>
      <c r="E31" s="57"/>
      <c r="G31" s="58">
        <f t="shared" ref="G31:G35" si="0">B31/10500000</f>
        <v>1.0834285714285713E-3</v>
      </c>
    </row>
    <row r="32" spans="1:7" ht="21.75" thickBot="1" x14ac:dyDescent="0.2">
      <c r="A32" s="82" t="s">
        <v>119</v>
      </c>
      <c r="B32" s="63">
        <v>218000</v>
      </c>
      <c r="C32" s="63">
        <v>2.1</v>
      </c>
      <c r="D32" s="63" t="s">
        <v>120</v>
      </c>
      <c r="E32" s="57"/>
      <c r="G32" s="58">
        <f t="shared" si="0"/>
        <v>2.0761904761904763E-2</v>
      </c>
    </row>
    <row r="33" spans="1:7" ht="21.75" thickBot="1" x14ac:dyDescent="0.2">
      <c r="A33" s="59" t="s">
        <v>121</v>
      </c>
      <c r="B33" s="63">
        <v>2000</v>
      </c>
      <c r="C33" s="63">
        <v>0.18</v>
      </c>
      <c r="D33" s="63" t="s">
        <v>122</v>
      </c>
      <c r="E33" s="57"/>
      <c r="G33" s="58">
        <f t="shared" si="0"/>
        <v>1.9047619047619048E-4</v>
      </c>
    </row>
    <row r="34" spans="1:7" ht="21.75" thickBot="1" x14ac:dyDescent="0.2">
      <c r="A34" s="82" t="s">
        <v>123</v>
      </c>
      <c r="B34" s="63">
        <v>967000</v>
      </c>
      <c r="C34" s="63">
        <v>91.01</v>
      </c>
      <c r="D34" s="63">
        <v>47242</v>
      </c>
      <c r="E34" s="57"/>
      <c r="G34" s="58">
        <f t="shared" si="0"/>
        <v>9.2095238095238091E-2</v>
      </c>
    </row>
    <row r="35" spans="1:7" ht="11.25" thickBot="1" x14ac:dyDescent="0.2">
      <c r="A35" s="82" t="s">
        <v>124</v>
      </c>
      <c r="B35" s="63">
        <v>605000</v>
      </c>
      <c r="C35" s="70">
        <v>56.94</v>
      </c>
      <c r="D35" s="63">
        <v>29557</v>
      </c>
      <c r="E35" s="57"/>
      <c r="G35" s="58">
        <f t="shared" si="0"/>
        <v>5.7619047619047618E-2</v>
      </c>
    </row>
    <row r="36" spans="1:7" x14ac:dyDescent="0.15">
      <c r="A36" s="171" t="s">
        <v>125</v>
      </c>
      <c r="B36" s="173">
        <v>535000</v>
      </c>
      <c r="C36" s="175"/>
      <c r="D36" s="72">
        <v>13305</v>
      </c>
      <c r="E36" s="177"/>
    </row>
    <row r="37" spans="1:7" ht="11.25" thickBot="1" x14ac:dyDescent="0.2">
      <c r="A37" s="172"/>
      <c r="B37" s="174"/>
      <c r="C37" s="176"/>
      <c r="D37" s="66" t="s">
        <v>126</v>
      </c>
      <c r="E37" s="177"/>
    </row>
    <row r="38" spans="1:7" ht="11.25" thickBot="1" x14ac:dyDescent="0.2">
      <c r="A38" s="60" t="s">
        <v>127</v>
      </c>
      <c r="B38" s="64" t="s">
        <v>128</v>
      </c>
      <c r="C38" s="71" t="s">
        <v>129</v>
      </c>
      <c r="D38" s="67" t="s">
        <v>130</v>
      </c>
      <c r="E38" s="57"/>
    </row>
    <row r="39" spans="1:7" ht="21.75" thickBot="1" x14ac:dyDescent="0.2">
      <c r="A39" s="82" t="s">
        <v>131</v>
      </c>
      <c r="B39" s="63">
        <v>1078000</v>
      </c>
      <c r="C39" s="63">
        <v>101.45</v>
      </c>
      <c r="D39" s="63">
        <v>52665</v>
      </c>
      <c r="E39" s="57"/>
    </row>
    <row r="40" spans="1:7" x14ac:dyDescent="0.15">
      <c r="A40" s="62" t="s">
        <v>132</v>
      </c>
      <c r="B40" s="178">
        <v>500000</v>
      </c>
      <c r="C40" s="178">
        <v>47.06</v>
      </c>
      <c r="D40" s="178">
        <v>24427</v>
      </c>
      <c r="E40" s="177"/>
    </row>
    <row r="41" spans="1:7" ht="11.25" thickBot="1" x14ac:dyDescent="0.2">
      <c r="A41" s="83" t="s">
        <v>133</v>
      </c>
      <c r="B41" s="179"/>
      <c r="C41" s="179"/>
      <c r="D41" s="179"/>
      <c r="E41" s="177"/>
    </row>
    <row r="42" spans="1:7" ht="11.25" thickBot="1" x14ac:dyDescent="0.2">
      <c r="A42" s="60" t="s">
        <v>134</v>
      </c>
      <c r="B42" s="64">
        <v>104574</v>
      </c>
      <c r="C42" s="64">
        <v>9.84</v>
      </c>
      <c r="D42" s="64">
        <v>5109</v>
      </c>
      <c r="E42" s="57"/>
    </row>
    <row r="43" spans="1:7" ht="11.25" thickBot="1" x14ac:dyDescent="0.2">
      <c r="A43" s="60" t="s">
        <v>135</v>
      </c>
      <c r="B43" s="64">
        <v>102000</v>
      </c>
      <c r="C43" s="64">
        <v>9.6</v>
      </c>
      <c r="D43" s="64">
        <v>4983</v>
      </c>
      <c r="E43" s="57"/>
    </row>
    <row r="44" spans="1:7" ht="11.25" thickBot="1" x14ac:dyDescent="0.2">
      <c r="A44" s="60" t="s">
        <v>136</v>
      </c>
      <c r="B44" s="64">
        <v>86500</v>
      </c>
      <c r="C44" s="64">
        <v>8.14</v>
      </c>
      <c r="D44" s="64">
        <v>4226</v>
      </c>
      <c r="E44" s="57"/>
    </row>
    <row r="45" spans="1:7" ht="11.25" thickBot="1" x14ac:dyDescent="0.2">
      <c r="A45" s="60" t="s">
        <v>137</v>
      </c>
      <c r="B45" s="64">
        <v>717000</v>
      </c>
      <c r="C45" s="64">
        <v>67.48</v>
      </c>
      <c r="D45" s="64">
        <v>35029</v>
      </c>
      <c r="E45" s="57"/>
    </row>
    <row r="46" spans="1:7" ht="11.25" thickBot="1" x14ac:dyDescent="0.2">
      <c r="A46" s="60" t="s">
        <v>138</v>
      </c>
      <c r="B46" s="64">
        <v>145000</v>
      </c>
      <c r="C46" s="64">
        <v>13.65</v>
      </c>
      <c r="D46" s="64">
        <v>43379</v>
      </c>
      <c r="E46" s="57"/>
    </row>
    <row r="47" spans="1:7" ht="21.75" thickBot="1" x14ac:dyDescent="0.2">
      <c r="A47" s="60" t="s">
        <v>139</v>
      </c>
      <c r="B47" s="64">
        <v>41000</v>
      </c>
      <c r="C47" s="64">
        <v>2.4500000000000002</v>
      </c>
      <c r="D47" s="64">
        <v>100</v>
      </c>
      <c r="E47" s="57"/>
    </row>
    <row r="48" spans="1:7" ht="21.75" thickBot="1" x14ac:dyDescent="0.2">
      <c r="A48" s="60" t="s">
        <v>140</v>
      </c>
      <c r="B48" s="64">
        <v>46200</v>
      </c>
      <c r="C48" s="64">
        <v>2.76</v>
      </c>
      <c r="D48" s="64">
        <v>225</v>
      </c>
      <c r="E48" s="57"/>
    </row>
    <row r="49" spans="1:5" ht="11.25" thickBot="1" x14ac:dyDescent="0.2">
      <c r="A49" s="60" t="s">
        <v>141</v>
      </c>
      <c r="B49" s="64">
        <v>54000</v>
      </c>
      <c r="C49" s="64" t="s">
        <v>142</v>
      </c>
      <c r="D49" s="64" t="s">
        <v>143</v>
      </c>
      <c r="E49" s="57"/>
    </row>
  </sheetData>
  <sheetProtection algorithmName="SHA-512" hashValue="x8xhLGgmDl61dGwDylObk5U+YDpajUFazyrg3s4OjMz7ap/VVWVJJLSWS2Af5xWmvJNtVuMawQOvze2lpV/xww==" saltValue="dG0Dz9lZ6LC5L053TOr/3w==" spinCount="100000" sheet="1" objects="1" scenarios="1" selectLockedCells="1" selectUnlockedCells="1"/>
  <mergeCells count="12">
    <mergeCell ref="E36:E37"/>
    <mergeCell ref="B40:B41"/>
    <mergeCell ref="C40:C41"/>
    <mergeCell ref="D40:D41"/>
    <mergeCell ref="E40:E41"/>
    <mergeCell ref="A21:A22"/>
    <mergeCell ref="B21:B22"/>
    <mergeCell ref="C21:C22"/>
    <mergeCell ref="D21:D22"/>
    <mergeCell ref="A36:A37"/>
    <mergeCell ref="B36:B37"/>
    <mergeCell ref="C36:C3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H7" sqref="H7"/>
    </sheetView>
  </sheetViews>
  <sheetFormatPr defaultRowHeight="15" x14ac:dyDescent="0.25"/>
  <cols>
    <col min="13" max="13" width="18.7109375" customWidth="1"/>
    <col min="14" max="14" width="12.85546875" style="80" customWidth="1"/>
    <col min="15" max="18" width="10.7109375" style="54" customWidth="1"/>
  </cols>
  <sheetData>
    <row r="1" spans="1:21" x14ac:dyDescent="0.25">
      <c r="A1" s="146">
        <v>2017</v>
      </c>
      <c r="B1" s="146"/>
      <c r="C1" s="146"/>
      <c r="D1" s="146"/>
      <c r="E1" s="146"/>
      <c r="F1" s="146"/>
      <c r="G1" s="146"/>
      <c r="H1" s="146"/>
      <c r="I1" s="146"/>
      <c r="J1" s="146"/>
      <c r="K1" s="54"/>
    </row>
    <row r="2" spans="1:21" x14ac:dyDescent="0.25">
      <c r="A2" s="54" t="s">
        <v>8</v>
      </c>
      <c r="B2" s="54" t="s">
        <v>9</v>
      </c>
      <c r="C2" s="54" t="s">
        <v>10</v>
      </c>
      <c r="D2" s="54" t="s">
        <v>11</v>
      </c>
      <c r="E2" s="54" t="s">
        <v>12</v>
      </c>
      <c r="F2" s="54" t="s">
        <v>13</v>
      </c>
      <c r="G2" s="54" t="s">
        <v>14</v>
      </c>
      <c r="H2" s="54" t="s">
        <v>15</v>
      </c>
      <c r="I2" s="54" t="s">
        <v>16</v>
      </c>
      <c r="J2" s="54" t="s">
        <v>61</v>
      </c>
      <c r="K2" s="54"/>
      <c r="O2" s="54">
        <v>2017</v>
      </c>
    </row>
    <row r="3" spans="1:21" x14ac:dyDescent="0.25">
      <c r="A3" s="14">
        <v>48994</v>
      </c>
      <c r="B3" s="14">
        <v>147568</v>
      </c>
      <c r="C3" s="14">
        <v>17107</v>
      </c>
      <c r="D3" s="14">
        <v>15863</v>
      </c>
      <c r="E3" s="14">
        <v>12259</v>
      </c>
      <c r="F3" s="14">
        <v>7273</v>
      </c>
      <c r="G3" s="14">
        <v>4319</v>
      </c>
      <c r="H3" s="14">
        <v>2451</v>
      </c>
      <c r="I3" s="14">
        <v>770</v>
      </c>
      <c r="J3" s="14">
        <f>SUM(A3:I3)</f>
        <v>256604</v>
      </c>
      <c r="K3" s="14"/>
      <c r="M3" t="s">
        <v>145</v>
      </c>
      <c r="N3" s="80" t="s">
        <v>146</v>
      </c>
      <c r="O3" s="14">
        <f>170*(J5/1000)</f>
        <v>88117.29</v>
      </c>
      <c r="P3" s="14"/>
      <c r="Q3" s="14"/>
      <c r="R3" s="14"/>
    </row>
    <row r="4" spans="1:21" x14ac:dyDescent="0.25">
      <c r="A4" s="14">
        <v>46351</v>
      </c>
      <c r="B4" s="14">
        <v>138962</v>
      </c>
      <c r="C4" s="14">
        <v>18027</v>
      </c>
      <c r="D4" s="14">
        <v>17878</v>
      </c>
      <c r="E4" s="14">
        <v>15436</v>
      </c>
      <c r="F4" s="14">
        <v>10323</v>
      </c>
      <c r="G4" s="14">
        <v>7655</v>
      </c>
      <c r="H4" s="14">
        <v>5030</v>
      </c>
      <c r="I4" s="14">
        <v>2071</v>
      </c>
      <c r="J4" s="14">
        <f>SUM(A4:I4)</f>
        <v>261733</v>
      </c>
      <c r="K4" s="14"/>
      <c r="M4" t="s">
        <v>147</v>
      </c>
      <c r="N4" s="80" t="s">
        <v>188</v>
      </c>
      <c r="O4" s="14">
        <f>103.53*(J5/1000)</f>
        <v>53663.429609999999</v>
      </c>
      <c r="P4" s="14"/>
      <c r="Q4" s="14"/>
      <c r="R4" s="14"/>
    </row>
    <row r="5" spans="1:21" x14ac:dyDescent="0.25">
      <c r="A5" s="14">
        <f>A3+A4</f>
        <v>95345</v>
      </c>
      <c r="B5" s="14">
        <f t="shared" ref="B5:I5" si="0">B3+B4</f>
        <v>286530</v>
      </c>
      <c r="C5" s="14">
        <f t="shared" si="0"/>
        <v>35134</v>
      </c>
      <c r="D5" s="14">
        <f t="shared" si="0"/>
        <v>33741</v>
      </c>
      <c r="E5" s="14">
        <f t="shared" si="0"/>
        <v>27695</v>
      </c>
      <c r="F5" s="14">
        <f t="shared" si="0"/>
        <v>17596</v>
      </c>
      <c r="G5" s="14">
        <f t="shared" si="0"/>
        <v>11974</v>
      </c>
      <c r="H5" s="14">
        <f t="shared" si="0"/>
        <v>7481</v>
      </c>
      <c r="I5" s="14">
        <f t="shared" si="0"/>
        <v>2841</v>
      </c>
      <c r="J5" s="74">
        <f>J3+J4</f>
        <v>518337</v>
      </c>
      <c r="K5" s="76"/>
      <c r="M5" t="s">
        <v>153</v>
      </c>
      <c r="N5" s="80" t="s">
        <v>148</v>
      </c>
      <c r="O5" s="14">
        <f>100*((J5*D7)/1000)</f>
        <v>10132.800000000001</v>
      </c>
      <c r="P5" s="14"/>
      <c r="Q5" s="14"/>
      <c r="R5" s="14"/>
    </row>
    <row r="6" spans="1:21" x14ac:dyDescent="0.25">
      <c r="A6" s="14"/>
      <c r="B6" s="14"/>
      <c r="C6" s="14" t="s">
        <v>149</v>
      </c>
      <c r="D6" s="14">
        <f>SUM(D5:I5)</f>
        <v>101328</v>
      </c>
      <c r="E6" s="14"/>
      <c r="F6" s="14"/>
      <c r="G6" s="14" t="s">
        <v>156</v>
      </c>
      <c r="H6" s="14">
        <f>H5+I5</f>
        <v>10322</v>
      </c>
      <c r="I6" s="14"/>
      <c r="J6" s="76"/>
      <c r="K6" s="76"/>
      <c r="M6" t="s">
        <v>151</v>
      </c>
      <c r="N6" s="80" t="s">
        <v>152</v>
      </c>
      <c r="O6" s="14">
        <f>15*(J5/1000)</f>
        <v>7775.0550000000003</v>
      </c>
      <c r="P6" s="14"/>
      <c r="Q6" s="14"/>
      <c r="R6" s="14"/>
    </row>
    <row r="7" spans="1:21" x14ac:dyDescent="0.25">
      <c r="A7" s="14"/>
      <c r="B7" s="14"/>
      <c r="C7" s="14"/>
      <c r="D7" s="77">
        <f>D6/J5</f>
        <v>0.19548672002963324</v>
      </c>
      <c r="E7" s="14"/>
      <c r="F7" s="14"/>
      <c r="G7" s="14"/>
      <c r="H7" s="77">
        <f>H6/J5</f>
        <v>1.991368549804471E-2</v>
      </c>
      <c r="I7" s="14"/>
      <c r="J7" s="76"/>
      <c r="K7" s="76"/>
      <c r="M7" t="s">
        <v>153</v>
      </c>
      <c r="N7" s="80" t="s">
        <v>154</v>
      </c>
      <c r="O7" s="14">
        <f>74*((J5*D7)/1000)</f>
        <v>7498.2719999999999</v>
      </c>
      <c r="P7" s="14"/>
      <c r="Q7" s="14"/>
      <c r="R7" s="14"/>
    </row>
    <row r="8" spans="1:21" x14ac:dyDescent="0.25">
      <c r="A8" s="14"/>
      <c r="B8" s="14"/>
      <c r="C8" s="14"/>
      <c r="D8" s="14"/>
      <c r="E8" s="14"/>
      <c r="F8" s="14"/>
      <c r="G8" s="14"/>
      <c r="H8" s="14"/>
      <c r="I8" s="14"/>
      <c r="L8" s="14"/>
      <c r="M8" s="78" t="s">
        <v>155</v>
      </c>
      <c r="N8" s="81" t="s">
        <v>157</v>
      </c>
      <c r="O8" s="14">
        <f>300*((J5*H7)/1000)</f>
        <v>3096.6</v>
      </c>
      <c r="P8" s="14"/>
      <c r="Q8" s="14"/>
      <c r="R8" s="14"/>
      <c r="S8" s="14"/>
      <c r="T8" s="14"/>
      <c r="U8" s="14"/>
    </row>
    <row r="9" spans="1:21" x14ac:dyDescent="0.25">
      <c r="A9" s="146">
        <v>2020</v>
      </c>
      <c r="B9" s="146"/>
      <c r="C9" s="146"/>
      <c r="D9" s="146"/>
      <c r="E9" s="146"/>
      <c r="F9" s="146"/>
      <c r="G9" s="146"/>
      <c r="H9" s="146"/>
      <c r="I9" s="146"/>
      <c r="J9" s="54"/>
      <c r="K9" s="54"/>
      <c r="L9" s="14"/>
      <c r="M9" s="14" t="s">
        <v>158</v>
      </c>
      <c r="N9" s="81" t="s">
        <v>159</v>
      </c>
      <c r="O9" s="14">
        <f>7*(J5/1000)</f>
        <v>3628.3589999999999</v>
      </c>
      <c r="P9" s="14"/>
      <c r="Q9" s="14"/>
      <c r="R9" s="14"/>
      <c r="S9" s="14"/>
      <c r="T9" s="14"/>
      <c r="U9" s="14"/>
    </row>
    <row r="10" spans="1:21" x14ac:dyDescent="0.25">
      <c r="A10" s="54" t="s">
        <v>8</v>
      </c>
      <c r="B10" s="54" t="s">
        <v>9</v>
      </c>
      <c r="C10" s="54" t="s">
        <v>10</v>
      </c>
      <c r="D10" s="54" t="s">
        <v>11</v>
      </c>
      <c r="E10" s="54" t="s">
        <v>12</v>
      </c>
      <c r="F10" s="54" t="s">
        <v>13</v>
      </c>
      <c r="G10" s="54" t="s">
        <v>14</v>
      </c>
      <c r="H10" s="54" t="s">
        <v>15</v>
      </c>
      <c r="I10" s="54" t="s">
        <v>16</v>
      </c>
      <c r="J10" s="54" t="s">
        <v>61</v>
      </c>
      <c r="K10" s="54"/>
      <c r="M10" s="79" t="s">
        <v>160</v>
      </c>
      <c r="N10" s="80" t="s">
        <v>161</v>
      </c>
      <c r="O10" s="14">
        <f>285*(J5/1000)</f>
        <v>147726.04499999998</v>
      </c>
      <c r="P10" s="14"/>
      <c r="Q10" s="14"/>
      <c r="R10" s="14"/>
    </row>
    <row r="11" spans="1:21" x14ac:dyDescent="0.25">
      <c r="A11" s="14">
        <v>48233.8</v>
      </c>
      <c r="B11" s="14">
        <v>144510.20000000001</v>
      </c>
      <c r="C11" s="14">
        <v>15736</v>
      </c>
      <c r="D11" s="14">
        <v>15985</v>
      </c>
      <c r="E11" s="14">
        <v>13305</v>
      </c>
      <c r="F11" s="14">
        <v>8275</v>
      </c>
      <c r="G11" s="14">
        <v>4500</v>
      </c>
      <c r="H11" s="14">
        <v>2655</v>
      </c>
      <c r="I11" s="14">
        <v>1091</v>
      </c>
      <c r="J11" s="14">
        <f>SUM(A11:I11)</f>
        <v>254291</v>
      </c>
      <c r="K11" s="14"/>
      <c r="M11" t="s">
        <v>162</v>
      </c>
      <c r="N11" s="80" t="s">
        <v>163</v>
      </c>
      <c r="O11" s="14">
        <f>50*(J5/1000)</f>
        <v>25916.85</v>
      </c>
      <c r="P11" s="14"/>
      <c r="Q11" s="14"/>
      <c r="R11" s="14"/>
      <c r="U11" s="54"/>
    </row>
    <row r="12" spans="1:21" x14ac:dyDescent="0.25">
      <c r="A12" s="14">
        <v>45531.4</v>
      </c>
      <c r="B12" s="14">
        <v>137189.6</v>
      </c>
      <c r="C12" s="14">
        <v>16635</v>
      </c>
      <c r="D12" s="14">
        <v>18038</v>
      </c>
      <c r="E12" s="14">
        <v>16135</v>
      </c>
      <c r="F12" s="14">
        <v>11419</v>
      </c>
      <c r="G12" s="14">
        <v>7455</v>
      </c>
      <c r="H12" s="14">
        <v>5067</v>
      </c>
      <c r="I12" s="14">
        <v>2407</v>
      </c>
      <c r="J12" s="14">
        <f>SUM(A12:I12)</f>
        <v>259877</v>
      </c>
      <c r="K12" s="14"/>
      <c r="M12" t="s">
        <v>164</v>
      </c>
      <c r="N12" s="80" t="s">
        <v>165</v>
      </c>
      <c r="O12" s="14">
        <f>11*(J5/1000)</f>
        <v>5701.7070000000003</v>
      </c>
      <c r="P12" s="14"/>
      <c r="Q12" s="14"/>
      <c r="R12" s="14"/>
      <c r="U12" s="14"/>
    </row>
    <row r="13" spans="1:21" x14ac:dyDescent="0.25">
      <c r="A13" s="14">
        <f t="shared" ref="A13:I13" si="1">A11+A12</f>
        <v>93765.200000000012</v>
      </c>
      <c r="B13" s="14">
        <f t="shared" si="1"/>
        <v>281699.80000000005</v>
      </c>
      <c r="C13" s="14">
        <f t="shared" si="1"/>
        <v>32371</v>
      </c>
      <c r="D13" s="14">
        <f t="shared" si="1"/>
        <v>34023</v>
      </c>
      <c r="E13" s="14">
        <f t="shared" si="1"/>
        <v>29440</v>
      </c>
      <c r="F13" s="14">
        <f t="shared" si="1"/>
        <v>19694</v>
      </c>
      <c r="G13" s="14">
        <f t="shared" si="1"/>
        <v>11955</v>
      </c>
      <c r="H13" s="14">
        <f t="shared" si="1"/>
        <v>7722</v>
      </c>
      <c r="I13" s="14">
        <f t="shared" si="1"/>
        <v>3498</v>
      </c>
      <c r="J13" s="14">
        <f t="shared" ref="J13" si="2">J11+J12</f>
        <v>514168</v>
      </c>
      <c r="K13" s="16">
        <f>J13/J5</f>
        <v>0.99195697007931138</v>
      </c>
      <c r="M13" t="s">
        <v>166</v>
      </c>
      <c r="N13" s="80" t="s">
        <v>167</v>
      </c>
      <c r="O13" s="14">
        <f>1.08*(J5/1000)</f>
        <v>559.80396000000007</v>
      </c>
      <c r="P13" s="14"/>
      <c r="Q13" s="14"/>
      <c r="R13" s="14"/>
      <c r="U13" s="14"/>
    </row>
    <row r="14" spans="1:21" x14ac:dyDescent="0.25">
      <c r="A14" s="14"/>
      <c r="B14" s="14"/>
      <c r="C14" s="14" t="s">
        <v>149</v>
      </c>
      <c r="D14" s="14">
        <f>SUM(D13:I13)</f>
        <v>106332</v>
      </c>
      <c r="E14" s="14"/>
      <c r="F14" s="14"/>
      <c r="G14" s="14" t="s">
        <v>156</v>
      </c>
      <c r="H14" s="14">
        <f>H13+I13</f>
        <v>11220</v>
      </c>
      <c r="I14" s="14"/>
      <c r="J14" s="14"/>
      <c r="K14" s="16"/>
      <c r="M14" t="s">
        <v>168</v>
      </c>
      <c r="N14" s="80" t="s">
        <v>169</v>
      </c>
      <c r="O14" s="14">
        <f>21*(J5/1000)</f>
        <v>10885.076999999999</v>
      </c>
      <c r="P14" s="14"/>
      <c r="Q14" s="14"/>
      <c r="R14" s="14"/>
      <c r="U14" s="14"/>
    </row>
    <row r="15" spans="1:21" x14ac:dyDescent="0.25">
      <c r="A15" s="14"/>
      <c r="B15" s="14"/>
      <c r="C15" s="14"/>
      <c r="D15" s="77">
        <f>D14/J5</f>
        <v>0.20514067103062295</v>
      </c>
      <c r="E15" s="14"/>
      <c r="F15" s="14"/>
      <c r="G15" s="14"/>
      <c r="H15" s="77">
        <f>H14/J5</f>
        <v>2.164614912691936E-2</v>
      </c>
      <c r="I15" s="14"/>
      <c r="J15" s="14"/>
      <c r="K15" s="16"/>
      <c r="M15" t="s">
        <v>170</v>
      </c>
      <c r="N15" s="80" t="s">
        <v>171</v>
      </c>
      <c r="O15" s="14">
        <f>91*(J5/1000)</f>
        <v>47168.667000000001</v>
      </c>
      <c r="P15" s="14"/>
      <c r="Q15" s="14"/>
      <c r="R15" s="14"/>
      <c r="U15" s="14"/>
    </row>
    <row r="16" spans="1:21" x14ac:dyDescent="0.25">
      <c r="K16" s="75"/>
      <c r="M16" t="s">
        <v>189</v>
      </c>
      <c r="N16" s="80" t="s">
        <v>172</v>
      </c>
      <c r="O16" s="14">
        <f>57*(J5/1000)</f>
        <v>29545.208999999999</v>
      </c>
      <c r="P16" s="14"/>
      <c r="Q16" s="14"/>
      <c r="R16" s="14"/>
      <c r="U16" s="14"/>
    </row>
    <row r="17" spans="1:21" x14ac:dyDescent="0.25">
      <c r="A17" s="146">
        <v>2025</v>
      </c>
      <c r="B17" s="146"/>
      <c r="C17" s="146"/>
      <c r="D17" s="146"/>
      <c r="E17" s="146"/>
      <c r="F17" s="146"/>
      <c r="G17" s="146"/>
      <c r="H17" s="146"/>
      <c r="I17" s="146"/>
      <c r="J17" s="54"/>
      <c r="K17" s="16"/>
      <c r="O17" s="14"/>
      <c r="P17" s="14"/>
      <c r="Q17" s="14"/>
      <c r="R17" s="14"/>
      <c r="U17" s="14"/>
    </row>
    <row r="18" spans="1:21" x14ac:dyDescent="0.25">
      <c r="A18" s="54" t="s">
        <v>8</v>
      </c>
      <c r="B18" s="54" t="s">
        <v>9</v>
      </c>
      <c r="C18" s="54" t="s">
        <v>10</v>
      </c>
      <c r="D18" s="54" t="s">
        <v>11</v>
      </c>
      <c r="E18" s="54" t="s">
        <v>12</v>
      </c>
      <c r="F18" s="54" t="s">
        <v>13</v>
      </c>
      <c r="G18" s="54" t="s">
        <v>14</v>
      </c>
      <c r="H18" s="54" t="s">
        <v>15</v>
      </c>
      <c r="I18" s="54" t="s">
        <v>16</v>
      </c>
      <c r="J18" s="54" t="s">
        <v>61</v>
      </c>
      <c r="K18" s="16"/>
      <c r="M18" s="73" t="s">
        <v>173</v>
      </c>
      <c r="N18" s="80" t="s">
        <v>176</v>
      </c>
      <c r="O18" s="14">
        <f>101.45*(J5/1000)</f>
        <v>52585.288650000002</v>
      </c>
      <c r="P18" s="14"/>
      <c r="Q18" s="14"/>
      <c r="R18" s="14"/>
    </row>
    <row r="19" spans="1:21" x14ac:dyDescent="0.25">
      <c r="A19" s="14">
        <v>46897.4</v>
      </c>
      <c r="B19" s="14">
        <v>141138.6</v>
      </c>
      <c r="C19" s="14">
        <v>14805</v>
      </c>
      <c r="D19" s="14">
        <v>14621</v>
      </c>
      <c r="E19" s="14">
        <v>14247</v>
      </c>
      <c r="F19" s="14">
        <v>11112</v>
      </c>
      <c r="G19" s="14">
        <v>6229</v>
      </c>
      <c r="H19" s="14">
        <v>2815</v>
      </c>
      <c r="I19" s="14">
        <v>1516</v>
      </c>
      <c r="J19" s="14">
        <f>SUM(A19:I19)</f>
        <v>253381</v>
      </c>
      <c r="K19" s="16"/>
      <c r="M19" t="s">
        <v>174</v>
      </c>
      <c r="O19" s="14"/>
      <c r="P19" s="14"/>
      <c r="Q19" s="14"/>
      <c r="R19" s="14"/>
    </row>
    <row r="20" spans="1:21" x14ac:dyDescent="0.25">
      <c r="A20" s="14">
        <v>44319.199999999997</v>
      </c>
      <c r="B20" s="14">
        <v>134118.79999999999</v>
      </c>
      <c r="C20" s="14">
        <v>15470</v>
      </c>
      <c r="D20" s="14">
        <v>16076</v>
      </c>
      <c r="E20" s="14">
        <v>16930</v>
      </c>
      <c r="F20" s="14">
        <v>14455</v>
      </c>
      <c r="G20" s="14">
        <v>9348</v>
      </c>
      <c r="H20" s="14">
        <v>5071</v>
      </c>
      <c r="I20" s="14">
        <v>3132</v>
      </c>
      <c r="J20" s="14">
        <f>SUM(A20:I20)</f>
        <v>258920</v>
      </c>
      <c r="K20" s="16"/>
      <c r="M20" t="s">
        <v>175</v>
      </c>
      <c r="N20" s="80" t="s">
        <v>177</v>
      </c>
      <c r="O20" s="14">
        <f>47.06*(J5/1000)</f>
        <v>24392.93922</v>
      </c>
      <c r="P20" s="14"/>
      <c r="Q20" s="14"/>
      <c r="R20" s="14"/>
    </row>
    <row r="21" spans="1:21" x14ac:dyDescent="0.25">
      <c r="A21" s="14">
        <f t="shared" ref="A21:I21" si="3">A19+A20</f>
        <v>91216.6</v>
      </c>
      <c r="B21" s="14">
        <f t="shared" si="3"/>
        <v>275257.40000000002</v>
      </c>
      <c r="C21" s="14">
        <f t="shared" si="3"/>
        <v>30275</v>
      </c>
      <c r="D21" s="14">
        <f t="shared" si="3"/>
        <v>30697</v>
      </c>
      <c r="E21" s="14">
        <f t="shared" si="3"/>
        <v>31177</v>
      </c>
      <c r="F21" s="14">
        <f t="shared" si="3"/>
        <v>25567</v>
      </c>
      <c r="G21" s="14">
        <f t="shared" si="3"/>
        <v>15577</v>
      </c>
      <c r="H21" s="14">
        <f t="shared" si="3"/>
        <v>7886</v>
      </c>
      <c r="I21" s="14">
        <f t="shared" si="3"/>
        <v>4648</v>
      </c>
      <c r="J21" s="14">
        <f t="shared" ref="J21" si="4">J19+J20</f>
        <v>512301</v>
      </c>
      <c r="K21" s="16">
        <f>J21/J5</f>
        <v>0.9883550662985664</v>
      </c>
      <c r="M21" t="s">
        <v>178</v>
      </c>
      <c r="N21" s="80" t="s">
        <v>179</v>
      </c>
      <c r="O21" s="14">
        <f>9.84*(J5/1000)</f>
        <v>5100.4360799999995</v>
      </c>
      <c r="P21" s="14"/>
      <c r="Q21" s="14"/>
      <c r="R21" s="14"/>
    </row>
    <row r="22" spans="1:21" x14ac:dyDescent="0.25">
      <c r="A22" s="14"/>
      <c r="B22" s="14"/>
      <c r="C22" s="14" t="s">
        <v>149</v>
      </c>
      <c r="D22" s="14">
        <f>SUM(D21:I21)</f>
        <v>115552</v>
      </c>
      <c r="E22" s="14"/>
      <c r="F22" s="14"/>
      <c r="G22" s="14" t="s">
        <v>156</v>
      </c>
      <c r="H22" s="14">
        <f>H21+I21</f>
        <v>12534</v>
      </c>
      <c r="I22" s="14"/>
      <c r="J22" s="14"/>
      <c r="K22" s="16"/>
      <c r="M22" t="s">
        <v>180</v>
      </c>
      <c r="N22" s="80" t="s">
        <v>181</v>
      </c>
      <c r="O22" s="14">
        <f>9.6*(J5/1000)</f>
        <v>4976.0351999999993</v>
      </c>
      <c r="P22" s="14"/>
      <c r="Q22" s="14"/>
      <c r="R22" s="14"/>
    </row>
    <row r="23" spans="1:21" x14ac:dyDescent="0.25">
      <c r="A23" s="14"/>
      <c r="B23" s="14"/>
      <c r="C23" s="14"/>
      <c r="D23" s="77">
        <f>D22/J5</f>
        <v>0.22292832655203082</v>
      </c>
      <c r="E23" s="14"/>
      <c r="F23" s="14"/>
      <c r="G23" s="14"/>
      <c r="H23" s="77">
        <f>H22/J5</f>
        <v>2.4181179425740398E-2</v>
      </c>
      <c r="I23" s="14"/>
      <c r="J23" s="14"/>
      <c r="K23" s="16"/>
      <c r="M23" t="s">
        <v>182</v>
      </c>
      <c r="N23" s="80" t="s">
        <v>183</v>
      </c>
      <c r="O23" s="14">
        <f>8.14*(J5/1000)</f>
        <v>4219.2631799999999</v>
      </c>
      <c r="P23" s="14"/>
      <c r="Q23" s="14"/>
      <c r="R23" s="14"/>
    </row>
    <row r="24" spans="1:21" x14ac:dyDescent="0.25">
      <c r="K24" s="75"/>
      <c r="M24" t="s">
        <v>184</v>
      </c>
      <c r="N24" s="80" t="s">
        <v>185</v>
      </c>
      <c r="O24" s="14">
        <f>67.48*(J5/1000)</f>
        <v>34977.38076</v>
      </c>
      <c r="P24" s="14"/>
      <c r="Q24" s="14"/>
      <c r="R24" s="14"/>
    </row>
    <row r="25" spans="1:21" x14ac:dyDescent="0.25">
      <c r="A25" s="146">
        <v>2030</v>
      </c>
      <c r="B25" s="146"/>
      <c r="C25" s="146"/>
      <c r="D25" s="146"/>
      <c r="E25" s="146"/>
      <c r="F25" s="146"/>
      <c r="G25" s="146"/>
      <c r="H25" s="146"/>
      <c r="I25" s="146"/>
      <c r="K25" s="75"/>
      <c r="M25" t="s">
        <v>186</v>
      </c>
      <c r="N25" s="80" t="s">
        <v>187</v>
      </c>
      <c r="O25" s="14">
        <f>13.65*(J5/1000)</f>
        <v>7075.3000499999998</v>
      </c>
      <c r="P25" s="14"/>
      <c r="Q25" s="14"/>
      <c r="R25" s="14"/>
    </row>
    <row r="26" spans="1:21" x14ac:dyDescent="0.25">
      <c r="A26" s="54" t="s">
        <v>8</v>
      </c>
      <c r="B26" s="54" t="s">
        <v>9</v>
      </c>
      <c r="C26" s="54" t="s">
        <v>10</v>
      </c>
      <c r="D26" s="54" t="s">
        <v>11</v>
      </c>
      <c r="E26" s="54" t="s">
        <v>12</v>
      </c>
      <c r="F26" s="54" t="s">
        <v>13</v>
      </c>
      <c r="G26" s="54" t="s">
        <v>14</v>
      </c>
      <c r="H26" s="54" t="s">
        <v>15</v>
      </c>
      <c r="I26" s="54" t="s">
        <v>16</v>
      </c>
      <c r="J26" s="54" t="s">
        <v>61</v>
      </c>
      <c r="K26" s="16"/>
      <c r="O26" s="14"/>
      <c r="P26" s="14"/>
      <c r="Q26" s="14"/>
      <c r="R26" s="14"/>
    </row>
    <row r="27" spans="1:21" x14ac:dyDescent="0.25">
      <c r="A27" s="14">
        <v>43753</v>
      </c>
      <c r="B27" s="14">
        <v>139035</v>
      </c>
      <c r="C27" s="14">
        <v>15151</v>
      </c>
      <c r="D27" s="14">
        <v>13960</v>
      </c>
      <c r="E27" s="14">
        <v>13249</v>
      </c>
      <c r="F27" s="14">
        <v>12173</v>
      </c>
      <c r="G27" s="14">
        <v>8627</v>
      </c>
      <c r="H27" s="14">
        <v>4096</v>
      </c>
      <c r="I27" s="14">
        <v>1816</v>
      </c>
      <c r="J27" s="15">
        <f>SUM(A27:I27)</f>
        <v>251860</v>
      </c>
      <c r="K27" s="75"/>
      <c r="O27" s="14"/>
      <c r="P27" s="14"/>
      <c r="Q27" s="14"/>
      <c r="R27" s="14"/>
    </row>
    <row r="28" spans="1:21" x14ac:dyDescent="0.25">
      <c r="A28" s="14">
        <v>41268.400000000001</v>
      </c>
      <c r="B28" s="14">
        <v>132364.6</v>
      </c>
      <c r="C28" s="14">
        <v>15761</v>
      </c>
      <c r="D28" s="14">
        <v>15048</v>
      </c>
      <c r="E28" s="14">
        <v>15226</v>
      </c>
      <c r="F28" s="14">
        <v>15381</v>
      </c>
      <c r="G28" s="14">
        <v>12119</v>
      </c>
      <c r="H28" s="14">
        <v>6663</v>
      </c>
      <c r="I28" s="14">
        <v>3601</v>
      </c>
      <c r="J28" s="15">
        <f>SUM(A28:I28)</f>
        <v>257432</v>
      </c>
      <c r="K28" s="75"/>
      <c r="O28" s="14"/>
      <c r="P28" s="14"/>
      <c r="Q28" s="14"/>
      <c r="R28" s="14"/>
    </row>
    <row r="29" spans="1:21" x14ac:dyDescent="0.25">
      <c r="A29" s="14">
        <f t="shared" ref="A29" si="5">A27+A28</f>
        <v>85021.4</v>
      </c>
      <c r="B29" s="14">
        <f t="shared" ref="B29" si="6">B27+B28</f>
        <v>271399.59999999998</v>
      </c>
      <c r="C29" s="14">
        <f t="shared" ref="C29" si="7">C27+C28</f>
        <v>30912</v>
      </c>
      <c r="D29" s="14">
        <f t="shared" ref="D29" si="8">D27+D28</f>
        <v>29008</v>
      </c>
      <c r="E29" s="14">
        <f t="shared" ref="E29" si="9">E27+E28</f>
        <v>28475</v>
      </c>
      <c r="F29" s="14">
        <f t="shared" ref="F29" si="10">F27+F28</f>
        <v>27554</v>
      </c>
      <c r="G29" s="14">
        <f t="shared" ref="G29" si="11">G27+G28</f>
        <v>20746</v>
      </c>
      <c r="H29" s="14">
        <f t="shared" ref="H29" si="12">H27+H28</f>
        <v>10759</v>
      </c>
      <c r="I29" s="14">
        <f t="shared" ref="I29" si="13">I27+I28</f>
        <v>5417</v>
      </c>
      <c r="J29" s="14">
        <f t="shared" ref="J29" si="14">J27+J28</f>
        <v>509292</v>
      </c>
      <c r="K29" s="16">
        <f>J29/J5</f>
        <v>0.98254996266907435</v>
      </c>
      <c r="O29" s="14"/>
      <c r="P29" s="14"/>
      <c r="Q29" s="14"/>
      <c r="R29" s="14"/>
    </row>
    <row r="30" spans="1:21" x14ac:dyDescent="0.25">
      <c r="C30" t="s">
        <v>150</v>
      </c>
      <c r="D30" s="15">
        <f>SUM(D29:I29)</f>
        <v>121959</v>
      </c>
      <c r="G30" s="14" t="s">
        <v>156</v>
      </c>
      <c r="H30" s="15">
        <f>H29+I29</f>
        <v>16176</v>
      </c>
    </row>
    <row r="31" spans="1:21" x14ac:dyDescent="0.25">
      <c r="D31" s="75">
        <f>D30/J5</f>
        <v>0.23528901081728681</v>
      </c>
      <c r="H31" s="75">
        <f>H30/J5</f>
        <v>3.1207496281376788E-2</v>
      </c>
    </row>
  </sheetData>
  <sheetProtection algorithmName="SHA-512" hashValue="4qFkR245oPqa7oMoqffKEkxM55B9hYeEPxjSCtpuMnDQqqzGihGRWn6KJpVeWM00oVALXQ9GWlSmFMyYrqJyww==" saltValue="nrWruuirLgVwlLzc9D/Wpw==" spinCount="100000" sheet="1" objects="1" scenarios="1" selectLockedCells="1" selectUnlockedCells="1"/>
  <mergeCells count="4">
    <mergeCell ref="A1:J1"/>
    <mergeCell ref="A9:I9"/>
    <mergeCell ref="A17:I17"/>
    <mergeCell ref="A25:I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List1</vt:lpstr>
      <vt:lpstr>List2</vt:lpstr>
      <vt:lpstr>List3</vt:lpstr>
      <vt:lpstr>Kalkulačka</vt:lpstr>
      <vt:lpstr>List4</vt:lpstr>
      <vt:lpstr>List5</vt:lpstr>
      <vt:lpstr>List6</vt:lpstr>
      <vt:lpstr>Kalkulačka!Oblast_tisku</vt:lpstr>
    </vt:vector>
  </TitlesOfParts>
  <Company>VÚPSV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Průša Ladislav</dc:creator>
  <cp:lastModifiedBy>Průša Ladislav</cp:lastModifiedBy>
  <cp:lastPrinted>2019-06-05T08:35:40Z</cp:lastPrinted>
  <dcterms:created xsi:type="dcterms:W3CDTF">2018-07-12T10:37:48Z</dcterms:created>
  <dcterms:modified xsi:type="dcterms:W3CDTF">2019-07-11T09:06:23Z</dcterms:modified>
</cp:coreProperties>
</file>